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2.xml" ContentType="application/vnd.openxmlformats-officedocument.drawing+xml"/>
  <Override PartName="/xl/comments2.xml" ContentType="application/vnd.openxmlformats-officedocument.spreadsheetml.comments+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drawings/drawing3.xml" ContentType="application/vnd.openxmlformats-officedocument.drawing+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drawings/drawing4.xml" ContentType="application/vnd.openxmlformats-officedocument.drawing+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charts/chart23.xml" ContentType="application/vnd.openxmlformats-officedocument.drawingml.chart+xml"/>
  <Override PartName="/xl/charts/style23.xml" ContentType="application/vnd.ms-office.chartstyle+xml"/>
  <Override PartName="/xl/charts/colors23.xml" ContentType="application/vnd.ms-office.chartcolorstyle+xml"/>
  <Override PartName="/xl/charts/chart24.xml" ContentType="application/vnd.openxmlformats-officedocument.drawingml.chart+xml"/>
  <Override PartName="/xl/charts/style24.xml" ContentType="application/vnd.ms-office.chartstyle+xml"/>
  <Override PartName="/xl/charts/colors24.xml" ContentType="application/vnd.ms-office.chartcolorstyle+xml"/>
  <Override PartName="/xl/charts/chart25.xml" ContentType="application/vnd.openxmlformats-officedocument.drawingml.chart+xml"/>
  <Override PartName="/xl/charts/style25.xml" ContentType="application/vnd.ms-office.chartstyle+xml"/>
  <Override PartName="/xl/charts/colors25.xml" ContentType="application/vnd.ms-office.chartcolorstyle+xml"/>
  <Override PartName="/xl/drawings/drawing5.xml" ContentType="application/vnd.openxmlformats-officedocument.drawing+xml"/>
  <Override PartName="/xl/charts/chart26.xml" ContentType="application/vnd.openxmlformats-officedocument.drawingml.chart+xml"/>
  <Override PartName="/xl/charts/style26.xml" ContentType="application/vnd.ms-office.chartstyle+xml"/>
  <Override PartName="/xl/charts/colors26.xml" ContentType="application/vnd.ms-office.chartcolorstyle+xml"/>
  <Override PartName="/xl/charts/chart27.xml" ContentType="application/vnd.openxmlformats-officedocument.drawingml.chart+xml"/>
  <Override PartName="/xl/charts/style27.xml" ContentType="application/vnd.ms-office.chartstyle+xml"/>
  <Override PartName="/xl/charts/colors27.xml" ContentType="application/vnd.ms-office.chartcolorstyle+xml"/>
  <Override PartName="/xl/charts/chart28.xml" ContentType="application/vnd.openxmlformats-officedocument.drawingml.chart+xml"/>
  <Override PartName="/xl/charts/style28.xml" ContentType="application/vnd.ms-office.chartstyle+xml"/>
  <Override PartName="/xl/charts/colors28.xml" ContentType="application/vnd.ms-office.chartcolorstyle+xml"/>
  <Override PartName="/xl/charts/chart29.xml" ContentType="application/vnd.openxmlformats-officedocument.drawingml.chart+xml"/>
  <Override PartName="/xl/charts/style29.xml" ContentType="application/vnd.ms-office.chartstyle+xml"/>
  <Override PartName="/xl/charts/colors29.xml" ContentType="application/vnd.ms-office.chartcolorstyle+xml"/>
  <Override PartName="/xl/charts/chart30.xml" ContentType="application/vnd.openxmlformats-officedocument.drawingml.chart+xml"/>
  <Override PartName="/xl/charts/style30.xml" ContentType="application/vnd.ms-office.chartstyle+xml"/>
  <Override PartName="/xl/charts/colors30.xml" ContentType="application/vnd.ms-office.chartcolorstyle+xml"/>
  <Override PartName="/xl/charts/chart31.xml" ContentType="application/vnd.openxmlformats-officedocument.drawingml.chart+xml"/>
  <Override PartName="/xl/charts/style31.xml" ContentType="application/vnd.ms-office.chartstyle+xml"/>
  <Override PartName="/xl/charts/colors31.xml" ContentType="application/vnd.ms-office.chartcolorstyle+xml"/>
  <Override PartName="/xl/charts/chart32.xml" ContentType="application/vnd.openxmlformats-officedocument.drawingml.chart+xml"/>
  <Override PartName="/xl/charts/style32.xml" ContentType="application/vnd.ms-office.chartstyle+xml"/>
  <Override PartName="/xl/charts/colors32.xml" ContentType="application/vnd.ms-office.chartcolorstyle+xml"/>
  <Override PartName="/xl/drawings/drawing6.xml" ContentType="application/vnd.openxmlformats-officedocument.drawing+xml"/>
  <Override PartName="/xl/charts/chart33.xml" ContentType="application/vnd.openxmlformats-officedocument.drawingml.chart+xml"/>
  <Override PartName="/xl/charts/style33.xml" ContentType="application/vnd.ms-office.chartstyle+xml"/>
  <Override PartName="/xl/charts/colors33.xml" ContentType="application/vnd.ms-office.chartcolorstyle+xml"/>
  <Override PartName="/xl/charts/chart34.xml" ContentType="application/vnd.openxmlformats-officedocument.drawingml.chart+xml"/>
  <Override PartName="/xl/charts/style34.xml" ContentType="application/vnd.ms-office.chartstyle+xml"/>
  <Override PartName="/xl/charts/colors34.xml" ContentType="application/vnd.ms-office.chartcolorstyle+xml"/>
  <Override PartName="/xl/drawings/drawing7.xml" ContentType="application/vnd.openxmlformats-officedocument.drawing+xml"/>
  <Override PartName="/xl/charts/chart35.xml" ContentType="application/vnd.openxmlformats-officedocument.drawingml.chart+xml"/>
  <Override PartName="/xl/charts/style35.xml" ContentType="application/vnd.ms-office.chartstyle+xml"/>
  <Override PartName="/xl/charts/colors35.xml" ContentType="application/vnd.ms-office.chartcolorstyle+xml"/>
  <Override PartName="/xl/charts/chart36.xml" ContentType="application/vnd.openxmlformats-officedocument.drawingml.chart+xml"/>
  <Override PartName="/xl/charts/style36.xml" ContentType="application/vnd.ms-office.chartstyle+xml"/>
  <Override PartName="/xl/charts/colors36.xml" ContentType="application/vnd.ms-office.chartcolorstyle+xml"/>
  <Override PartName="/xl/charts/chart37.xml" ContentType="application/vnd.openxmlformats-officedocument.drawingml.chart+xml"/>
  <Override PartName="/xl/charts/style37.xml" ContentType="application/vnd.ms-office.chartstyle+xml"/>
  <Override PartName="/xl/charts/colors37.xml" ContentType="application/vnd.ms-office.chartcolorstyle+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drawings/drawing8.xml" ContentType="application/vnd.openxmlformats-officedocument.drawing+xml"/>
  <Override PartName="/xl/charts/chart38.xml" ContentType="application/vnd.openxmlformats-officedocument.drawingml.chart+xml"/>
  <Override PartName="/xl/charts/style38.xml" ContentType="application/vnd.ms-office.chartstyle+xml"/>
  <Override PartName="/xl/charts/colors38.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L:\01_Projects\2024_05 RGP Strike Team\Model Results - 2\"/>
    </mc:Choice>
  </mc:AlternateContent>
  <xr:revisionPtr revIDLastSave="0" documentId="8_{8DA07FBC-5DD3-42C6-974C-AE8C2C6A2061}" xr6:coauthVersionLast="47" xr6:coauthVersionMax="47" xr10:uidLastSave="{00000000-0000-0000-0000-000000000000}"/>
  <bookViews>
    <workbookView xWindow="-120" yWindow="-120" windowWidth="29040" windowHeight="15840" xr2:uid="{158E222D-0293-4516-9330-00030056CDB5}"/>
  </bookViews>
  <sheets>
    <sheet name="Values by Metric" sheetId="12" r:id="rId1"/>
    <sheet name="Net Cost" sheetId="14" r:id="rId2"/>
    <sheet name="Bill Impact" sheetId="8" r:id="rId3"/>
    <sheet name="Liquidity Risk" sheetId="15" r:id="rId4"/>
    <sheet name="Capacity Factor" sheetId="33" r:id="rId5"/>
    <sheet name="Reliability Risk Hours" sheetId="18" r:id="rId6"/>
    <sheet name="P14-17 Emissions" sheetId="25" r:id="rId7"/>
    <sheet name="CF % of load" sheetId="32" r:id="rId8"/>
    <sheet name="P14-17 Tradeoffs" sheetId="16" r:id="rId9"/>
    <sheet name="10" sheetId="26" r:id="rId10"/>
    <sheet name="12" sheetId="27" r:id="rId11"/>
    <sheet name="14" sheetId="28" r:id="rId12"/>
    <sheet name="15" sheetId="29" r:id="rId13"/>
    <sheet name="16" sheetId="30" r:id="rId14"/>
    <sheet name="17" sheetId="31" r:id="rId15"/>
    <sheet name="AE DSM Existing Projections" sheetId="11" r:id="rId16"/>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RiskIsInput" hidden="1">FALSE</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3" i="16" l="1"/>
  <c r="M58" i="32" l="1"/>
  <c r="M57" i="32"/>
  <c r="M56" i="32"/>
  <c r="M55" i="32"/>
  <c r="M54" i="32"/>
  <c r="M53" i="32"/>
  <c r="M52" i="32"/>
  <c r="M51" i="32"/>
  <c r="M50" i="32"/>
  <c r="M49" i="32"/>
  <c r="M48" i="32"/>
  <c r="M47" i="32"/>
  <c r="M46" i="32"/>
  <c r="M45" i="32"/>
  <c r="M44" i="32"/>
  <c r="M43" i="32"/>
  <c r="M42" i="32"/>
  <c r="G19" i="14" l="1"/>
  <c r="F20" i="12" l="1"/>
  <c r="F19" i="12"/>
  <c r="F18" i="12"/>
  <c r="F17" i="12"/>
  <c r="F16" i="12"/>
  <c r="F15" i="12"/>
  <c r="F14" i="12"/>
  <c r="F13" i="12"/>
  <c r="F12" i="12"/>
  <c r="F11" i="12"/>
  <c r="F10" i="12"/>
  <c r="F9" i="12"/>
  <c r="F8" i="12"/>
  <c r="F7" i="12"/>
  <c r="F6" i="12"/>
  <c r="F5" i="12"/>
  <c r="F4" i="12"/>
  <c r="M20" i="12"/>
  <c r="M19" i="12"/>
  <c r="M18" i="12"/>
  <c r="M17" i="12"/>
  <c r="M16" i="12"/>
  <c r="M15" i="12"/>
  <c r="M14" i="12"/>
  <c r="M13" i="12"/>
  <c r="M12" i="12"/>
  <c r="M11" i="12"/>
  <c r="M10" i="12"/>
  <c r="M9" i="12"/>
  <c r="M8" i="12"/>
  <c r="M7" i="12"/>
  <c r="M6" i="12"/>
  <c r="M5" i="12"/>
  <c r="M4" i="12"/>
  <c r="L20" i="12"/>
  <c r="L19" i="12"/>
  <c r="L18" i="12"/>
  <c r="L17" i="12"/>
  <c r="L16" i="12"/>
  <c r="L15" i="12"/>
  <c r="L14" i="12"/>
  <c r="L13" i="12"/>
  <c r="L12" i="12"/>
  <c r="L11" i="12"/>
  <c r="L10" i="12"/>
  <c r="L9" i="12"/>
  <c r="L8" i="12"/>
  <c r="L7" i="12"/>
  <c r="L6" i="12"/>
  <c r="L5" i="12"/>
  <c r="L4" i="12"/>
  <c r="K20" i="12"/>
  <c r="K19" i="12"/>
  <c r="K18" i="12"/>
  <c r="K17" i="12"/>
  <c r="K16" i="12"/>
  <c r="K15" i="12"/>
  <c r="K14" i="12"/>
  <c r="K13" i="12"/>
  <c r="K12" i="12"/>
  <c r="K11" i="12"/>
  <c r="K10" i="12"/>
  <c r="K9" i="12"/>
  <c r="K8" i="12"/>
  <c r="K7" i="12"/>
  <c r="K6" i="12"/>
  <c r="K5" i="12"/>
  <c r="K4" i="12"/>
  <c r="J20" i="12"/>
  <c r="J19" i="12"/>
  <c r="J18" i="12"/>
  <c r="J17" i="12"/>
  <c r="J16" i="12"/>
  <c r="J15" i="12"/>
  <c r="J14" i="12"/>
  <c r="J13" i="12"/>
  <c r="J12" i="12"/>
  <c r="J11" i="12"/>
  <c r="J10" i="12"/>
  <c r="J9" i="12"/>
  <c r="J8" i="12"/>
  <c r="J7" i="12"/>
  <c r="J6" i="12"/>
  <c r="J5" i="12"/>
  <c r="J4" i="12"/>
  <c r="E20" i="12"/>
  <c r="E19" i="12"/>
  <c r="E18" i="12"/>
  <c r="E17" i="12"/>
  <c r="E16" i="12"/>
  <c r="E15" i="12"/>
  <c r="E14" i="12"/>
  <c r="E13" i="12"/>
  <c r="E12" i="12"/>
  <c r="E11" i="12"/>
  <c r="E10" i="12"/>
  <c r="E9" i="12"/>
  <c r="E8" i="12"/>
  <c r="E7" i="12"/>
  <c r="E6" i="12"/>
  <c r="E5" i="12"/>
  <c r="E4" i="12"/>
  <c r="M61" i="31"/>
  <c r="M55" i="31"/>
  <c r="L55" i="31"/>
  <c r="K55" i="31"/>
  <c r="J55" i="31"/>
  <c r="I55" i="31"/>
  <c r="H55" i="31"/>
  <c r="G55" i="31"/>
  <c r="F55" i="31"/>
  <c r="E55" i="31"/>
  <c r="D55" i="31"/>
  <c r="C55" i="31"/>
  <c r="M55" i="30"/>
  <c r="L55" i="30"/>
  <c r="K55" i="30"/>
  <c r="J55" i="30"/>
  <c r="I55" i="30"/>
  <c r="H55" i="30"/>
  <c r="G55" i="30"/>
  <c r="F55" i="30"/>
  <c r="E55" i="30"/>
  <c r="D55" i="30"/>
  <c r="C55" i="30"/>
  <c r="M39" i="30"/>
  <c r="L39" i="30"/>
  <c r="M37" i="30"/>
  <c r="M33" i="30"/>
  <c r="M32" i="30"/>
  <c r="M61" i="30" s="1"/>
  <c r="M61" i="29"/>
  <c r="M55" i="29"/>
  <c r="L55" i="29"/>
  <c r="K55" i="29"/>
  <c r="J55" i="29"/>
  <c r="I55" i="29"/>
  <c r="H55" i="29"/>
  <c r="G55" i="29"/>
  <c r="F55" i="29"/>
  <c r="E55" i="29"/>
  <c r="D55" i="29"/>
  <c r="C55" i="29"/>
  <c r="M39" i="29"/>
  <c r="L39" i="29"/>
  <c r="K39" i="29"/>
  <c r="M37" i="29"/>
  <c r="M33" i="29"/>
  <c r="M32" i="29"/>
  <c r="M61" i="28"/>
  <c r="M55" i="28"/>
  <c r="L55" i="28"/>
  <c r="K55" i="28"/>
  <c r="J55" i="28"/>
  <c r="I55" i="28"/>
  <c r="H55" i="28"/>
  <c r="G55" i="28"/>
  <c r="F55" i="28"/>
  <c r="E55" i="28"/>
  <c r="D55" i="28"/>
  <c r="C55" i="28"/>
  <c r="M39" i="28"/>
  <c r="L25" i="28"/>
  <c r="M24" i="28"/>
  <c r="L24" i="28"/>
  <c r="M48" i="27"/>
  <c r="L48" i="27"/>
  <c r="K48" i="27"/>
  <c r="J48" i="27"/>
  <c r="I48" i="27"/>
  <c r="H48" i="27"/>
  <c r="G48" i="27"/>
  <c r="F48" i="27"/>
  <c r="E48" i="27"/>
  <c r="D48" i="27"/>
  <c r="C48" i="27"/>
  <c r="M48" i="26"/>
  <c r="L48" i="26"/>
  <c r="K48" i="26"/>
  <c r="J48" i="26"/>
  <c r="I48" i="26"/>
  <c r="H48" i="26"/>
  <c r="G48" i="26"/>
  <c r="F48" i="26"/>
  <c r="E48" i="26"/>
  <c r="D48" i="26"/>
  <c r="C48" i="26"/>
  <c r="M33" i="26"/>
  <c r="L19" i="26"/>
  <c r="M18" i="26"/>
  <c r="L18" i="26"/>
  <c r="D57" i="16" l="1"/>
  <c r="C57" i="16"/>
  <c r="D36" i="16"/>
  <c r="D35" i="16"/>
  <c r="D34" i="16"/>
  <c r="C33" i="16"/>
  <c r="D7" i="16"/>
  <c r="D6" i="16"/>
  <c r="D5" i="16"/>
  <c r="D4" i="16"/>
  <c r="D58" i="16" s="1"/>
  <c r="C7" i="16" l="1"/>
  <c r="C36" i="16" s="1"/>
  <c r="C6" i="16"/>
  <c r="C35" i="16" s="1"/>
  <c r="C5" i="16"/>
  <c r="C34" i="16" s="1"/>
  <c r="C4" i="16"/>
  <c r="C58" i="16" s="1"/>
  <c r="G20" i="12"/>
  <c r="G19" i="12"/>
  <c r="G18" i="12"/>
  <c r="G17" i="12"/>
  <c r="G16" i="12"/>
  <c r="G15" i="12"/>
  <c r="G14" i="12"/>
  <c r="G13" i="12"/>
  <c r="G12" i="12"/>
  <c r="G11" i="12"/>
  <c r="G10" i="12"/>
  <c r="G9" i="12"/>
  <c r="G8" i="12"/>
  <c r="G7" i="12"/>
  <c r="G6" i="12"/>
  <c r="G5" i="12"/>
  <c r="G4" i="12"/>
  <c r="D20" i="12"/>
  <c r="D19" i="12"/>
  <c r="D18" i="12"/>
  <c r="D17" i="12"/>
  <c r="D16" i="12"/>
  <c r="D15" i="12"/>
  <c r="D14" i="12"/>
  <c r="D13" i="12"/>
  <c r="D12" i="12"/>
  <c r="D11" i="12"/>
  <c r="D10" i="12"/>
  <c r="D9" i="12"/>
  <c r="D8" i="12"/>
  <c r="D7" i="12"/>
  <c r="D6" i="12"/>
  <c r="D5" i="12"/>
  <c r="D4" i="12"/>
  <c r="C20" i="12"/>
  <c r="C19" i="12"/>
  <c r="C18" i="12"/>
  <c r="C17" i="12"/>
  <c r="C16" i="12"/>
  <c r="C15" i="12"/>
  <c r="C14" i="12"/>
  <c r="C13" i="12"/>
  <c r="C12" i="12"/>
  <c r="C11" i="12"/>
  <c r="C10" i="12"/>
  <c r="C9" i="12"/>
  <c r="C8" i="12"/>
  <c r="C7" i="12"/>
  <c r="C6" i="12"/>
  <c r="C5" i="12"/>
  <c r="C4" i="12"/>
  <c r="N63" i="18"/>
  <c r="I20" i="12" s="1"/>
  <c r="N62" i="18"/>
  <c r="I19" i="12" s="1"/>
  <c r="N61" i="18"/>
  <c r="I18" i="12" s="1"/>
  <c r="N60" i="18"/>
  <c r="I17" i="12" s="1"/>
  <c r="N59" i="18"/>
  <c r="I16" i="12" s="1"/>
  <c r="N58" i="18"/>
  <c r="I15" i="12" s="1"/>
  <c r="N57" i="18"/>
  <c r="I14" i="12" s="1"/>
  <c r="N56" i="18"/>
  <c r="I13" i="12" s="1"/>
  <c r="N55" i="18"/>
  <c r="I12" i="12" s="1"/>
  <c r="N54" i="18"/>
  <c r="I11" i="12" s="1"/>
  <c r="N53" i="18"/>
  <c r="I10" i="12" s="1"/>
  <c r="N52" i="18"/>
  <c r="I9" i="12" s="1"/>
  <c r="N51" i="18"/>
  <c r="I8" i="12" s="1"/>
  <c r="N50" i="18"/>
  <c r="I7" i="12" s="1"/>
  <c r="N49" i="18"/>
  <c r="I6" i="12" s="1"/>
  <c r="N48" i="18"/>
  <c r="I5" i="12" s="1"/>
  <c r="N47" i="18"/>
  <c r="I4" i="12" s="1"/>
  <c r="N31" i="18"/>
  <c r="N30" i="18"/>
  <c r="N29" i="18"/>
  <c r="N28" i="18"/>
  <c r="N22" i="18"/>
  <c r="N21" i="18"/>
  <c r="N20" i="18"/>
  <c r="N19" i="18"/>
  <c r="N18" i="18"/>
  <c r="H16" i="12" s="1"/>
  <c r="N17" i="18"/>
  <c r="N16" i="18"/>
  <c r="H14" i="12" s="1"/>
  <c r="N15" i="18"/>
  <c r="N14" i="18"/>
  <c r="H12" i="12" s="1"/>
  <c r="N13" i="18"/>
  <c r="H11" i="12" s="1"/>
  <c r="N12" i="18"/>
  <c r="H10" i="12" s="1"/>
  <c r="N11" i="18"/>
  <c r="H9" i="12" s="1"/>
  <c r="N10" i="18"/>
  <c r="H8" i="12" s="1"/>
  <c r="N9" i="18"/>
  <c r="H7" i="12" s="1"/>
  <c r="N8" i="18"/>
  <c r="H6" i="12" s="1"/>
  <c r="N7" i="18"/>
  <c r="H5" i="12" s="1"/>
  <c r="N6" i="18"/>
  <c r="H4" i="12" s="1"/>
  <c r="C7" i="15"/>
  <c r="C8" i="15" s="1"/>
  <c r="C9" i="15" s="1"/>
  <c r="C10" i="15" s="1"/>
  <c r="C11" i="15" s="1"/>
  <c r="C12" i="15" s="1"/>
  <c r="C13" i="15" s="1"/>
  <c r="C14" i="15" s="1"/>
  <c r="C15" i="15" s="1"/>
  <c r="C16" i="15" s="1"/>
  <c r="C17" i="15" s="1"/>
  <c r="C18" i="15" s="1"/>
  <c r="C19" i="15" s="1"/>
  <c r="C20" i="15" s="1"/>
  <c r="C21" i="15" s="1"/>
  <c r="Q22" i="14"/>
  <c r="Q21" i="14"/>
  <c r="Q20" i="14"/>
  <c r="Q19" i="14"/>
  <c r="N56" i="12"/>
  <c r="N55" i="12"/>
  <c r="O54" i="12"/>
  <c r="N54" i="12"/>
  <c r="O53" i="12"/>
  <c r="N53" i="12"/>
  <c r="N52" i="12"/>
  <c r="N51" i="12"/>
  <c r="N50" i="12"/>
  <c r="N49" i="12"/>
  <c r="N48" i="12"/>
  <c r="N47" i="12"/>
  <c r="N46" i="12"/>
  <c r="N45" i="12"/>
  <c r="N44" i="12"/>
  <c r="N43" i="12"/>
  <c r="N42" i="12"/>
  <c r="N41" i="12"/>
  <c r="O56" i="12" s="1"/>
  <c r="N40" i="12"/>
  <c r="O55" i="12" s="1"/>
  <c r="O15" i="12"/>
  <c r="O51" i="12" s="1"/>
  <c r="O13" i="12"/>
  <c r="O49" i="12" s="1"/>
  <c r="O12" i="12"/>
  <c r="O48" i="12" s="1"/>
  <c r="O11" i="12"/>
  <c r="O47" i="12" s="1"/>
  <c r="O7" i="12"/>
  <c r="O43" i="12" s="1"/>
  <c r="O5" i="12"/>
  <c r="O41" i="12" s="1"/>
  <c r="C78" i="8"/>
  <c r="H18" i="12" l="1"/>
  <c r="E5" i="16"/>
  <c r="E34" i="16" s="1"/>
  <c r="H19" i="12"/>
  <c r="E6" i="16"/>
  <c r="E35" i="16" s="1"/>
  <c r="H13" i="12"/>
  <c r="E57" i="16"/>
  <c r="H15" i="12"/>
  <c r="E33" i="16"/>
  <c r="H20" i="12"/>
  <c r="E7" i="16"/>
  <c r="E36" i="16" s="1"/>
  <c r="H17" i="12"/>
  <c r="E4" i="16"/>
  <c r="E58" i="16" s="1"/>
  <c r="O9" i="12"/>
  <c r="O45" i="12" s="1"/>
  <c r="O10" i="12"/>
  <c r="O46" i="12" s="1"/>
  <c r="O16" i="12"/>
  <c r="O52" i="12" s="1"/>
  <c r="O8" i="12"/>
  <c r="O44" i="12" s="1"/>
  <c r="O4" i="12"/>
  <c r="O40" i="12" s="1"/>
  <c r="O6" i="12"/>
  <c r="O42" i="12" s="1"/>
  <c r="O14" i="12"/>
  <c r="O50" i="12" s="1"/>
  <c r="G21" i="14"/>
  <c r="G22" i="14"/>
  <c r="G20" i="1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5" authorId="0" shapeId="0" xr:uid="{4BA02BCF-DF1B-4386-B0AC-B5F583690DF6}">
      <text>
        <r>
          <rPr>
            <b/>
            <sz val="9"/>
            <color indexed="81"/>
            <rFont val="Tahoma"/>
            <family val="2"/>
          </rPr>
          <t>AE:</t>
        </r>
        <r>
          <rPr>
            <sz val="9"/>
            <color indexed="81"/>
            <rFont val="Tahoma"/>
            <family val="2"/>
          </rPr>
          <t xml:space="preserve">
 PSA + % of Fixed Cost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15" authorId="0" shapeId="0" xr:uid="{B2E29758-99EB-4829-83F4-17C1CA44F1BE}">
      <text>
        <r>
          <rPr>
            <sz val="11"/>
            <color theme="1"/>
            <rFont val="Calibri"/>
            <family val="2"/>
            <scheme val="minor"/>
          </rPr>
          <t>Hoffman, Michael:
Updated with P4 new data 9/24.</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18" authorId="0" shapeId="0" xr:uid="{89ADF6FE-87F3-4DA3-9633-9039940CA316}">
      <text>
        <r>
          <rPr>
            <b/>
            <sz val="9"/>
            <color indexed="81"/>
            <rFont val="Tahoma"/>
            <family val="2"/>
          </rPr>
          <t>AE:</t>
        </r>
        <r>
          <rPr>
            <sz val="9"/>
            <color indexed="81"/>
            <rFont val="Tahoma"/>
            <family val="2"/>
          </rPr>
          <t xml:space="preserve">
PPA Wind and Solar contract amounts optimized by cost to achieve 65% target and maintain through 2035.</t>
        </r>
      </text>
    </comment>
    <comment ref="B31" authorId="0" shapeId="0" xr:uid="{38E09EDE-A7B3-4C0B-A667-DA2E12E67693}">
      <text>
        <r>
          <rPr>
            <sz val="11"/>
            <color theme="1"/>
            <rFont val="Calibri"/>
            <family val="2"/>
            <scheme val="minor"/>
          </rPr>
          <t xml:space="preserve">AE:
DR, EE, and Local Solar numbers are additional resources beyond the Business-as-Usual projections - see rows 48 + 49 (solar) and rows 53-54 EE + DR.
2035 Total Capacity: 
2035 DNV:
DR (Scenario 1) Achievable Total:  269.7 MW
2035 AE Business-as-Usual Projection: 120 MW
Difference: 149 MW Additional Capacity by 2035
</t>
        </r>
      </text>
    </comment>
    <comment ref="B33" authorId="0" shapeId="0" xr:uid="{83C773A5-AE87-4BFF-9FEF-5583006C50D5}">
      <text>
        <r>
          <rPr>
            <sz val="11"/>
            <color theme="1"/>
            <rFont val="Calibri"/>
            <family val="2"/>
            <scheme val="minor"/>
          </rPr>
          <t xml:space="preserve">AE:
2035 total new capacity:
2035 DNV:
Rooftop Solar BAU: 301.9 MW
Solar + Storage BAU: 68.7 MW
Total:  370.6 MW
AE 2035 Business-as-Usual Projection: 290 MW
Difference = 80 MW by 2035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33" authorId="0" shapeId="0" xr:uid="{DBA461BC-690E-45D9-9C4E-BF57468711FA}">
      <text>
        <r>
          <rPr>
            <b/>
            <sz val="9"/>
            <color indexed="81"/>
            <rFont val="Tahoma"/>
            <family val="2"/>
          </rPr>
          <t>AE:</t>
        </r>
        <r>
          <rPr>
            <sz val="9"/>
            <color indexed="81"/>
            <rFont val="Tahoma"/>
            <family val="2"/>
          </rPr>
          <t xml:space="preserve">
Sum of rows 37-39 from EUC Portfolios - 8-13-24-2"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37" authorId="0" shapeId="0" xr:uid="{94D1FF32-0F23-4BAE-A7BF-B8DAC135C278}">
      <text>
        <r>
          <rPr>
            <sz val="11"/>
            <color theme="1"/>
            <rFont val="Calibri"/>
            <family val="2"/>
            <scheme val="minor"/>
          </rPr>
          <t xml:space="preserve">AE:
DR, EE, and Local Solar numbers are additional resources beyond the Business-as-Usual projections - see rows 48 + 49 (solar) and rows 53-54 EE + DR.
2035 Total Capacity: 
2035 DNV:
DR (Scenario 1) Technical Achievable Total:  324.5 MW
2035 AE Business-as-Usual Projection: 120 MW
Difference: 204 MW Additional Capacity by 2035
</t>
        </r>
      </text>
    </comment>
    <comment ref="B39" authorId="0" shapeId="0" xr:uid="{AD4927D1-DAC8-4E99-B105-A3CF881FDBC6}">
      <text>
        <r>
          <rPr>
            <sz val="11"/>
            <color theme="1"/>
            <rFont val="Calibri"/>
            <family val="2"/>
            <scheme val="minor"/>
          </rPr>
          <t xml:space="preserve">AE:
2035 total new capacity:
2035 DNV:
Rooftop Solar BAU: 301.9 MW
Solar + Storage BAU: 68.7 MW
Total:  370.6 MW
AE 2035 Business-as-Usual Projection: 290 MW
Difference = 80 MW by 2035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37" authorId="0" shapeId="0" xr:uid="{9937B8EE-1D9B-4BE5-8F37-806079E1F097}">
      <text>
        <r>
          <rPr>
            <sz val="11"/>
            <color theme="1"/>
            <rFont val="Calibri"/>
            <family val="2"/>
            <scheme val="minor"/>
          </rPr>
          <t xml:space="preserve">AE:
DR, EE, and Local Solar numbers are additional resources beyond the Business-as-Usual projections - see rows 48 + 49 (solar) and rows 53-54 EE + DR.
2035 Total Capacity: 
2035 DNV:
DR (Scenario 1) Technical Achievable Total:  324.5 MW
2035 AE Business-as-Usual Projection: 120 MW
Difference: 204 MW Additional Capacity by 2035
</t>
        </r>
      </text>
    </comment>
    <comment ref="B39" authorId="0" shapeId="0" xr:uid="{28E3AC9C-6042-4894-AAE2-49D17451418D}">
      <text>
        <r>
          <rPr>
            <sz val="11"/>
            <color theme="1"/>
            <rFont val="Calibri"/>
            <family val="2"/>
            <scheme val="minor"/>
          </rPr>
          <t xml:space="preserve">AE:
2035 total new capacity:
2035 DNV:
Rooftop Solar BAU: 301.9 MW
Solar + Storage BAU: 68.7 MW
Total:  370.6 MW
AE 2035 Business-as-Usual Projection: 290 MW
Difference = 80 MW by 2035
</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37" authorId="0" shapeId="0" xr:uid="{DECC79B5-3860-4926-943D-840C8453B1FA}">
      <text>
        <r>
          <rPr>
            <sz val="11"/>
            <color theme="1"/>
            <rFont val="Calibri"/>
            <family val="2"/>
            <scheme val="minor"/>
          </rPr>
          <t xml:space="preserve">AE:
DR, EE, and Local Solar numbers are additional resources beyond the Business-as-Usual projections - see rows 48 + 49 (solar) and rows 53-54 EE + DR.
2035 Total Capacity: 
2035 DNV:
DR (Scenario 1) Technical Achievable Total:  324.5 MW
2035 AE Business-as-Usual Projection: 120 MW
Difference: 204 MW Additional Capacity by 2035
</t>
        </r>
      </text>
    </comment>
    <comment ref="B39" authorId="0" shapeId="0" xr:uid="{ED952229-BF29-4D13-99F1-5EAEAA9C06BB}">
      <text>
        <r>
          <rPr>
            <sz val="11"/>
            <color theme="1"/>
            <rFont val="Calibri"/>
            <family val="2"/>
            <scheme val="minor"/>
          </rPr>
          <t xml:space="preserve">AE:
2035 total new capacity:
2035 DNV:
Rooftop Solar BAU: 301.9 MW
Solar + Storage BAU: 68.7 MW
Total:  370.6 MW
AE 2035 Business-as-Usual Projection: 290 MW
Difference = 80 MW by 2035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B37" authorId="0" shapeId="0" xr:uid="{F79AC4A6-9430-4204-96F5-630183EBC2E7}">
      <text>
        <r>
          <rPr>
            <sz val="11"/>
            <color theme="1"/>
            <rFont val="Calibri"/>
            <family val="2"/>
            <scheme val="minor"/>
          </rPr>
          <t xml:space="preserve">AE:
DR, EE, and Local Solar numbers are additional resources beyond the Business-as-Usual projections - see rows 48 + 49 (solar) and rows 53-54 EE + DR.
2035 Total Capacity: 
2035 DNV:
DR (Scenario 1) Technical Achievable Total:  324.5 MW
2035 AE Business-as-Usual Projection: 120 MW
Difference: 204 MW Additional Capacity by 2035
</t>
        </r>
      </text>
    </comment>
    <comment ref="B39" authorId="0" shapeId="0" xr:uid="{E39F2D7C-CF3F-4B9C-ACB2-2C322E9579AD}">
      <text>
        <r>
          <rPr>
            <sz val="11"/>
            <color theme="1"/>
            <rFont val="Calibri"/>
            <family val="2"/>
            <scheme val="minor"/>
          </rPr>
          <t xml:space="preserve">AE:
2035 total new capacity:
2035 DNV:
Rooftop Solar BAU: 301.9 MW
Solar + Storage BAU: 68.7 MW
Total:  370.6 MW
AE 2035 Business-as-Usual Projection: 290 MW
Difference = 80 MW by 2035
</t>
        </r>
      </text>
    </comment>
    <comment ref="B41" authorId="0" shapeId="0" xr:uid="{25526866-4813-4847-9FDD-E7F78F1BFC5C}">
      <text>
        <r>
          <rPr>
            <b/>
            <sz val="9"/>
            <color indexed="81"/>
            <rFont val="Tahoma"/>
            <family val="2"/>
          </rPr>
          <t>AE:</t>
        </r>
        <r>
          <rPr>
            <sz val="9"/>
            <color indexed="81"/>
            <rFont val="Tahoma"/>
            <family val="2"/>
          </rPr>
          <t xml:space="preserve">
Note that for P17 the Ascend modeling results do include the 250 MW import capacity increase. It was not added to P17 for Uplan modeling for lack of time to complete in Round II.</t>
        </r>
      </text>
    </comment>
  </commentList>
</comments>
</file>

<file path=xl/sharedStrings.xml><?xml version="1.0" encoding="utf-8"?>
<sst xmlns="http://schemas.openxmlformats.org/spreadsheetml/2006/main" count="538" uniqueCount="207">
  <si>
    <t>Model Results for Each Portfolio by Output Metric</t>
  </si>
  <si>
    <t>20-yr NPV 
($B)</t>
  </si>
  <si>
    <t>2035 Bill Impact ($/Month)</t>
  </si>
  <si>
    <t>2035 Energy Burden (%)</t>
  </si>
  <si>
    <t>Total Liquidity Need - Winter Event ($MM)</t>
  </si>
  <si>
    <t>Total Liquidity Need - Summer Event ($MM)</t>
  </si>
  <si>
    <t>Total Reliability Risk Hours (Hours)</t>
  </si>
  <si>
    <t>Total 3+ Hour Reliability Risk Events (Count)</t>
  </si>
  <si>
    <t>Total CO2 Emissions 
(Million Metric Tons)</t>
  </si>
  <si>
    <t>Total NOx Emissions 
(Metric Tons)</t>
  </si>
  <si>
    <t>Total SOx Emissions 
(Metric Tons)</t>
  </si>
  <si>
    <t>Total PM Emissions 
(Metric Tons)</t>
  </si>
  <si>
    <t>Total CO2 Emissions (ERCOT)</t>
  </si>
  <si>
    <t>TOTAL SCORE</t>
  </si>
  <si>
    <t>Scenarios Included</t>
  </si>
  <si>
    <t>Normal Conditions</t>
  </si>
  <si>
    <t>Avg All Scenarios</t>
  </si>
  <si>
    <t>5k HCAP + EPP</t>
  </si>
  <si>
    <t>Event</t>
  </si>
  <si>
    <t>Years</t>
  </si>
  <si>
    <t>2025-2045</t>
  </si>
  <si>
    <t>Based on 2035 Portfolio Mix</t>
  </si>
  <si>
    <t>2025-2035</t>
  </si>
  <si>
    <t>20-Year NPV of Net Costs</t>
  </si>
  <si>
    <t>[Delta above Normal]</t>
  </si>
  <si>
    <t>($B)</t>
  </si>
  <si>
    <t>UPLAN - Normal Conditions</t>
  </si>
  <si>
    <t>Extreme Weather Scenario</t>
  </si>
  <si>
    <t>High Congestion Scenario</t>
  </si>
  <si>
    <t>High Load Growth Scenario</t>
  </si>
  <si>
    <t>High Fuel Cost Growth Scenario</t>
  </si>
  <si>
    <t>Average Cost</t>
  </si>
  <si>
    <t>Ascend - P5</t>
  </si>
  <si>
    <t>Ascend - Mean</t>
  </si>
  <si>
    <t>Ascend - P95</t>
  </si>
  <si>
    <t xml:space="preserve">Summary of Estimated Bill Impact to AE Customers Based on Net Cost </t>
  </si>
  <si>
    <t>Average Monthly Bill Impact by Year - (Average of All Scenarios)</t>
  </si>
  <si>
    <t>2 (Reference - BAU)</t>
  </si>
  <si>
    <t>2% Affordability</t>
  </si>
  <si>
    <t>2023 Estimated CAP Customer Electricity Burden</t>
  </si>
  <si>
    <t>2023 State of Texas Average Low Income Customer Electricity Burden</t>
  </si>
  <si>
    <t>2035 Estimated CAP Customer Electricity Burden</t>
  </si>
  <si>
    <t>Electricity Burden Supporting Data</t>
  </si>
  <si>
    <t>Measure</t>
  </si>
  <si>
    <t>Value</t>
  </si>
  <si>
    <t>Reference</t>
  </si>
  <si>
    <t>Avg residential rate as % of avg system rate</t>
  </si>
  <si>
    <t>avg of annual value reported to EIA for 2017-2022</t>
  </si>
  <si>
    <t>2023 estimated CAP customer income</t>
  </si>
  <si>
    <t>2023 federal poverty level</t>
  </si>
  <si>
    <t>2010 Income Calculations (austintexas.gov)</t>
  </si>
  <si>
    <t>2023 ratio of avg CAP customer rate to avg residential rate</t>
  </si>
  <si>
    <t>Ratio of numbers below</t>
  </si>
  <si>
    <t>FY2025 Avg Residential Bill</t>
  </si>
  <si>
    <t>Analysis for 2025 proposed budget (found online)</t>
  </si>
  <si>
    <t>FY25 CAP Bill</t>
  </si>
  <si>
    <t>Results of Liquidity Risk Backcast Modeling</t>
  </si>
  <si>
    <t>Portfolio</t>
  </si>
  <si>
    <t>Portfolio Number</t>
  </si>
  <si>
    <t>Uri Backcast 5k HCAP Total Liquidity Need ($MM)</t>
  </si>
  <si>
    <t>Uri Backcast 5k HCAP + EPP Total Liquidity Need ($MM)</t>
  </si>
  <si>
    <t>Summer 2023 Backcast Total Liquidity Need ($MM)</t>
  </si>
  <si>
    <t>No New Commitments</t>
  </si>
  <si>
    <t>2030 Current Plan</t>
  </si>
  <si>
    <t>Local Gen/Storage + Margin</t>
  </si>
  <si>
    <t>Local Dispatchable + Margin</t>
  </si>
  <si>
    <t>Meet Env Goals + Expand DSM</t>
  </si>
  <si>
    <t>Aggressive DSM + Local Storage and Maintain Current RE Levels</t>
  </si>
  <si>
    <t>Aggressive DSM + Local Storage and Meet 65% RE Goal</t>
  </si>
  <si>
    <t>Hydrogen</t>
  </si>
  <si>
    <t>Hydrogen + Storage</t>
  </si>
  <si>
    <t>Keep Existing Gas + Storage</t>
  </si>
  <si>
    <t>Replace FPP in 2028 w/ Gas</t>
  </si>
  <si>
    <t>EUC-Workgroup Recs</t>
  </si>
  <si>
    <t>EUC-Increase Batteries</t>
  </si>
  <si>
    <t>Portfolio 14</t>
  </si>
  <si>
    <t>Portfolio 15</t>
  </si>
  <si>
    <t>Portfolio 16</t>
  </si>
  <si>
    <t>Portfolio 17</t>
  </si>
  <si>
    <t>Summary of Gas Unit Capacity Factors by Portfolio and Year</t>
  </si>
  <si>
    <t>UPLAN - Capacity Factor (P14)</t>
  </si>
  <si>
    <t>Sand Hill Peakers</t>
  </si>
  <si>
    <t>Decker Peakers</t>
  </si>
  <si>
    <t>New NG Peakers</t>
  </si>
  <si>
    <t>UPLAN - Capacity Factor (P15)</t>
  </si>
  <si>
    <t>UPLAN - Capacity Factor (P16)</t>
  </si>
  <si>
    <t>UPLAN - Capacity Factor (P17)</t>
  </si>
  <si>
    <t>Summary of Reliability Risk Hours Totals by Portfolio</t>
  </si>
  <si>
    <t>Total Reliability Risk Hours by Year</t>
  </si>
  <si>
    <t>Total</t>
  </si>
  <si>
    <t>Total Reliability Risk Hours by Year - High Load Forecast</t>
  </si>
  <si>
    <t>14 - High Load Forecast</t>
  </si>
  <si>
    <t>15 - High Load Forecast</t>
  </si>
  <si>
    <t>16 - High Load Forecast</t>
  </si>
  <si>
    <t>17 - High Load Forecast</t>
  </si>
  <si>
    <t>Total # of Reliability Risk Events - 3+ Hours</t>
  </si>
  <si>
    <t>Summary of Modeled Emissions Results</t>
  </si>
  <si>
    <t>Trend of Annual CO2 Emissions vs. Historical (Million Metric Tons)</t>
  </si>
  <si>
    <t>Historical</t>
  </si>
  <si>
    <t xml:space="preserve"> -   </t>
  </si>
  <si>
    <t>Millions of Metric Tons CO2 (2025-2035)</t>
  </si>
  <si>
    <t>CO2</t>
  </si>
  <si>
    <t>NOX Emissions in MT</t>
  </si>
  <si>
    <t>CY2025</t>
  </si>
  <si>
    <t>CY2026</t>
  </si>
  <si>
    <t>CY2027</t>
  </si>
  <si>
    <t>CY2028</t>
  </si>
  <si>
    <t>CY2029</t>
  </si>
  <si>
    <t>CY2030</t>
  </si>
  <si>
    <t>CY2031</t>
  </si>
  <si>
    <t>CY2032</t>
  </si>
  <si>
    <t>CY2033</t>
  </si>
  <si>
    <t>CY2034</t>
  </si>
  <si>
    <t>CY2035</t>
  </si>
  <si>
    <t>NOx</t>
  </si>
  <si>
    <t>SOX Emissions in MT</t>
  </si>
  <si>
    <t>SOx</t>
  </si>
  <si>
    <t>PM Emission (Tons)</t>
  </si>
  <si>
    <t>Portfolio Name</t>
  </si>
  <si>
    <t>PM</t>
  </si>
  <si>
    <t>Carbon Free % of Load with curtailment</t>
  </si>
  <si>
    <t>Carbon Free % of Load without curtailment</t>
  </si>
  <si>
    <t>Tradeoffs - Portfolios 14-17</t>
  </si>
  <si>
    <t>Net Cost ($B)</t>
  </si>
  <si>
    <t>CO2 Emissions (Million Metric Tons)</t>
  </si>
  <si>
    <t>Total Reliability Risk Hours</t>
  </si>
  <si>
    <t>Portfolio:</t>
  </si>
  <si>
    <t>10 - Keep Existing Gas + Local Storage</t>
  </si>
  <si>
    <t>Specifications:</t>
  </si>
  <si>
    <t>1)</t>
  </si>
  <si>
    <t>100% DR/EE/Local Solar projections from market potential study</t>
  </si>
  <si>
    <t>2)</t>
  </si>
  <si>
    <r>
      <t>100% Carbon Free by 2035 (zero CO</t>
    </r>
    <r>
      <rPr>
        <vertAlign val="subscript"/>
        <sz val="11"/>
        <color theme="1"/>
        <rFont val="Calibri"/>
        <family val="2"/>
        <scheme val="minor"/>
      </rPr>
      <t>2</t>
    </r>
    <r>
      <rPr>
        <sz val="11"/>
        <color theme="1"/>
        <rFont val="Calibri"/>
        <family val="2"/>
        <scheme val="minor"/>
      </rPr>
      <t xml:space="preserve"> stack emissions from AE generation)</t>
    </r>
  </si>
  <si>
    <t>3)</t>
  </si>
  <si>
    <t>65% Renewable Energy by 2027 (as % of AE Load) - new PPAs optimized financially by type/year</t>
  </si>
  <si>
    <t>4)</t>
  </si>
  <si>
    <t>Implement REACH on gas plants</t>
  </si>
  <si>
    <t>5)</t>
  </si>
  <si>
    <t>FPP retires beginning of 2025</t>
  </si>
  <si>
    <t>6)</t>
  </si>
  <si>
    <t xml:space="preserve">New local storage </t>
  </si>
  <si>
    <t>7)</t>
  </si>
  <si>
    <t>Decker and SHEC run through 2035</t>
  </si>
  <si>
    <t>8)</t>
  </si>
  <si>
    <t>[Cumulative New MW]</t>
  </si>
  <si>
    <t>NEW RESOURCES</t>
  </si>
  <si>
    <t xml:space="preserve">Remote Utility Scale Solar </t>
  </si>
  <si>
    <t>Remote Utility Scale Wind</t>
  </si>
  <si>
    <t>Remote Battery Storage (2-hour duration)</t>
  </si>
  <si>
    <t>Remote Battery Storage (4-hour duration)</t>
  </si>
  <si>
    <t>Combined Cycle + SCR</t>
  </si>
  <si>
    <t>Combustion Turbine + SCR</t>
  </si>
  <si>
    <t>H2 CT + SCR</t>
  </si>
  <si>
    <t>Local Battery Storage (2-hour duration)</t>
  </si>
  <si>
    <t>Local Battery Storage (4-hour duration)</t>
  </si>
  <si>
    <t>Local Battery Storage (12-hour duration)</t>
  </si>
  <si>
    <t>Local Battery Storage (100-hour duration)</t>
  </si>
  <si>
    <t>Hydrogen Fuel Cell</t>
  </si>
  <si>
    <t>Remote Geothermal</t>
  </si>
  <si>
    <t>Demand Response</t>
  </si>
  <si>
    <t>Energy Efficiency</t>
  </si>
  <si>
    <t>Customer-Sited Solar</t>
  </si>
  <si>
    <t>Community Solar</t>
  </si>
  <si>
    <t>[MW]</t>
  </si>
  <si>
    <t>EXISTING RESOURCES</t>
  </si>
  <si>
    <t>Decker Creek Power Station</t>
  </si>
  <si>
    <t>Sand Hill Energy Center</t>
  </si>
  <si>
    <t>Fayette Power Project</t>
  </si>
  <si>
    <t>South Texas</t>
  </si>
  <si>
    <t>Nacogdoches</t>
  </si>
  <si>
    <t>PPAs - Wind</t>
  </si>
  <si>
    <t>PPAs - Solar</t>
  </si>
  <si>
    <t>AE Existing Projection - Customer-Sited Solar</t>
  </si>
  <si>
    <t>AE Existing Projection - Community Solar</t>
  </si>
  <si>
    <t>GEN TOTAL</t>
  </si>
  <si>
    <t>AE Existing Commitments for DR/EE</t>
  </si>
  <si>
    <t>EE</t>
  </si>
  <si>
    <t>12 - EUC - Working Group Recs w/ Modifications</t>
  </si>
  <si>
    <t>Aggressive DR/EE/Local Solar projections beyond "Technical Achievable" from market potential study</t>
  </si>
  <si>
    <t>Optimize remote utility scale wind &amp; solar (or other emissions-free renewables) to achieve the following goals (as a % of load): 65% renewable by 2027, 76% renewable by 2030, 100% carbon-free by 2035</t>
  </si>
  <si>
    <t>Retire Decker and SHEC by end of 2034</t>
  </si>
  <si>
    <t>Optimize mix of 4- and 12-hr batteries to achieve 150 MW by 2027, 400 MW by 2030, and 500 MW by 2035</t>
  </si>
  <si>
    <t>#14</t>
  </si>
  <si>
    <t>Portfolio Objectives:</t>
  </si>
  <si>
    <t>Assess minimum levels of local storage and generation that mitigate LZPS and reliability risk in near-term (2025-2030)</t>
  </si>
  <si>
    <t>Includes land use for batteries constraint</t>
  </si>
  <si>
    <t>Import Capacity Improvement</t>
  </si>
  <si>
    <t>#15 - EUC "12-A"</t>
  </si>
  <si>
    <t>Assess potential reliability and cost improvements to P12 through added import capacity, local storage, and DSM</t>
  </si>
  <si>
    <t>250 MW Import Capacity Improvement</t>
  </si>
  <si>
    <t>Add 260 MW local solar to P12</t>
  </si>
  <si>
    <t>Add 100 MW local batteries</t>
  </si>
  <si>
    <t>Add 25MW DR</t>
  </si>
  <si>
    <t>Decker/SHEC retire 2034</t>
  </si>
  <si>
    <t>#16 - EUC "12-C"</t>
  </si>
  <si>
    <t>[Confirming 2035 Local Solar w/ Josh Rhodes]</t>
  </si>
  <si>
    <t>Add 160 MW local solar to P12</t>
  </si>
  <si>
    <t>Add 200 MW local batteries</t>
  </si>
  <si>
    <t>Add 100 MW DR</t>
  </si>
  <si>
    <t>Do not retire Decker/SHEC</t>
  </si>
  <si>
    <t>#17</t>
  </si>
  <si>
    <t>Only change year 2035 for existing P12 - do not retire Decker/SHEC in 2035</t>
  </si>
  <si>
    <t>Same as P12 except Decker/SHEC run in 2035</t>
  </si>
  <si>
    <t>No import capacity increase</t>
  </si>
  <si>
    <t>Import Capacity Increase</t>
  </si>
  <si>
    <t>Local Solar</t>
  </si>
  <si>
    <t>Max Economic Market Potential from DNV Study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</si>
</sst>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6" formatCode="&quot;$&quot;#,##0_);[Red]\(&quot;$&quot;#,##0\)"/>
    <numFmt numFmtId="8" formatCode="&quot;$&quot;#,##0.00_);[Red]\(&quot;$&quot;#,##0.00\)"/>
    <numFmt numFmtId="44" formatCode="_(&quot;$&quot;* #,##0.00_);_(&quot;$&quot;* \(#,##0.00\);_(&quot;$&quot;* &quot;-&quot;??_);_(@_)"/>
    <numFmt numFmtId="43" formatCode="_(* #,##0.00_);_(* \(#,##0.00\);_(* &quot;-&quot;??_);_(@_)"/>
    <numFmt numFmtId="164" formatCode="0.0%"/>
    <numFmt numFmtId="165" formatCode="_(* #,##0_);_(* \(#,##0\);_(* &quot;-&quot;??_);_(@_)"/>
    <numFmt numFmtId="166" formatCode="_(* #,##0.0_);_(* \(#,##0.0\);_(* &quot;-&quot;??_);_(@_)"/>
    <numFmt numFmtId="167" formatCode="0.00000"/>
    <numFmt numFmtId="168" formatCode="0.0000"/>
    <numFmt numFmtId="169" formatCode="0.0"/>
    <numFmt numFmtId="170" formatCode="&quot;$&quot;#,##0.00"/>
    <numFmt numFmtId="171" formatCode="&quot;$&quot;#,##0.0"/>
    <numFmt numFmtId="172" formatCode="&quot;$&quot;#,##0"/>
    <numFmt numFmtId="173" formatCode="_(* #,##0.0_);_(* \(#,##0.0\);_(* &quot;-&quot;?_);_(@_)"/>
  </numFmts>
  <fonts count="34" x14ac:knownFonts="1">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sz val="10"/>
      <color theme="1"/>
      <name val="Calibri"/>
      <family val="2"/>
      <scheme val="minor"/>
    </font>
    <font>
      <sz val="11"/>
      <color rgb="FF000000"/>
      <name val="Calibri"/>
      <family val="2"/>
      <scheme val="minor"/>
    </font>
    <font>
      <sz val="11"/>
      <color rgb="FF000000"/>
      <name val="Calibri"/>
      <family val="2"/>
    </font>
    <font>
      <b/>
      <sz val="11"/>
      <name val="Calibri"/>
      <family val="2"/>
      <scheme val="minor"/>
    </font>
    <font>
      <sz val="9"/>
      <color theme="1"/>
      <name val="Calibri"/>
      <family val="2"/>
      <scheme val="minor"/>
    </font>
    <font>
      <sz val="9"/>
      <color indexed="81"/>
      <name val="Tahoma"/>
      <family val="2"/>
    </font>
    <font>
      <b/>
      <sz val="9"/>
      <color indexed="81"/>
      <name val="Tahoma"/>
      <family val="2"/>
    </font>
    <font>
      <sz val="10"/>
      <name val="Calibri"/>
      <family val="2"/>
      <scheme val="minor"/>
    </font>
    <font>
      <u/>
      <sz val="11"/>
      <color theme="10"/>
      <name val="Calibri"/>
      <family val="2"/>
      <scheme val="minor"/>
    </font>
    <font>
      <b/>
      <sz val="11"/>
      <color rgb="FF000000"/>
      <name val="Calibri"/>
      <family val="2"/>
    </font>
    <font>
      <b/>
      <sz val="11"/>
      <color rgb="FF000000"/>
      <name val="Calibri"/>
      <family val="2"/>
      <scheme val="minor"/>
    </font>
    <font>
      <i/>
      <sz val="11"/>
      <color theme="1"/>
      <name val="Calibri"/>
      <family val="2"/>
      <scheme val="minor"/>
    </font>
    <font>
      <sz val="11"/>
      <name val="Calibri"/>
      <family val="2"/>
      <scheme val="minor"/>
    </font>
    <font>
      <sz val="10"/>
      <color theme="0"/>
      <name val="Calibri"/>
      <family val="2"/>
      <scheme val="minor"/>
    </font>
    <font>
      <b/>
      <u/>
      <sz val="10"/>
      <color theme="1"/>
      <name val="Calibri"/>
      <family val="2"/>
      <scheme val="minor"/>
    </font>
    <font>
      <sz val="10"/>
      <color rgb="FF000000"/>
      <name val="Times New Roman"/>
      <family val="1"/>
    </font>
    <font>
      <b/>
      <u/>
      <sz val="11"/>
      <color rgb="FF000000"/>
      <name val="Calibri"/>
      <family val="2"/>
    </font>
    <font>
      <sz val="9.5"/>
      <color rgb="FF000000"/>
      <name val="Calibri"/>
      <family val="2"/>
    </font>
    <font>
      <vertAlign val="subscript"/>
      <sz val="11"/>
      <color theme="1"/>
      <name val="Calibri"/>
      <family val="2"/>
      <scheme val="minor"/>
    </font>
    <font>
      <sz val="11"/>
      <name val="Calibri"/>
      <family val="2"/>
    </font>
    <font>
      <sz val="11"/>
      <color rgb="FFFF0000"/>
      <name val="Calibri"/>
      <family val="2"/>
      <scheme val="minor"/>
    </font>
    <font>
      <b/>
      <u/>
      <sz val="11"/>
      <color theme="1"/>
      <name val="Calibri"/>
      <family val="2"/>
      <scheme val="minor"/>
    </font>
    <font>
      <sz val="12"/>
      <color theme="1"/>
      <name val="Calibri"/>
      <family val="2"/>
      <scheme val="minor"/>
    </font>
    <font>
      <sz val="10"/>
      <color rgb="FF000000"/>
      <name val="Calibri"/>
      <family val="2"/>
      <scheme val="minor"/>
    </font>
    <font>
      <sz val="11"/>
      <color rgb="FFFF0000"/>
      <name val="Calibri"/>
      <family val="2"/>
    </font>
    <font>
      <b/>
      <sz val="12"/>
      <color rgb="FF000000"/>
      <name val="Aptos"/>
      <family val="2"/>
    </font>
    <font>
      <sz val="12"/>
      <color rgb="FF000000"/>
      <name val="Aptos"/>
      <family val="2"/>
    </font>
    <font>
      <sz val="12"/>
      <name val="Arial"/>
      <family val="2"/>
    </font>
  </fonts>
  <fills count="17">
    <fill>
      <patternFill patternType="none"/>
    </fill>
    <fill>
      <patternFill patternType="gray125"/>
    </fill>
    <fill>
      <patternFill patternType="solid">
        <fgColor theme="7"/>
        <bgColor indexed="64"/>
      </patternFill>
    </fill>
    <fill>
      <patternFill patternType="solid">
        <fgColor theme="3" tint="0.79998168889431442"/>
        <bgColor indexed="64"/>
      </patternFill>
    </fill>
    <fill>
      <patternFill patternType="solid">
        <fgColor theme="4" tint="-0.249977111117893"/>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rgb="FFFFF2CC"/>
        <bgColor rgb="FF000000"/>
      </patternFill>
    </fill>
    <fill>
      <patternFill patternType="solid">
        <fgColor theme="8" tint="0.39997558519241921"/>
        <bgColor indexed="65"/>
      </patternFill>
    </fill>
    <fill>
      <patternFill patternType="solid">
        <fgColor theme="9" tint="0.79998168889431442"/>
        <bgColor indexed="64"/>
      </patternFill>
    </fill>
    <fill>
      <patternFill patternType="solid">
        <fgColor theme="8" tint="-0.499984740745262"/>
        <bgColor indexed="64"/>
      </patternFill>
    </fill>
    <fill>
      <patternFill patternType="solid">
        <fgColor theme="0" tint="-4.9989318521683403E-2"/>
        <bgColor indexed="64"/>
      </patternFill>
    </fill>
    <fill>
      <patternFill patternType="solid">
        <fgColor rgb="FFFF0000"/>
        <bgColor indexed="64"/>
      </patternFill>
    </fill>
    <fill>
      <patternFill patternType="solid">
        <fgColor theme="6" tint="0.79998168889431442"/>
        <bgColor indexed="64"/>
      </patternFill>
    </fill>
    <fill>
      <patternFill patternType="solid">
        <fgColor rgb="FF92D050"/>
        <bgColor indexed="64"/>
      </patternFill>
    </fill>
    <fill>
      <patternFill patternType="solid">
        <fgColor rgb="FFA9D08E"/>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style="thin">
        <color indexed="64"/>
      </top>
      <bottom style="thin">
        <color indexed="64"/>
      </bottom>
      <diagonal/>
    </border>
    <border>
      <left style="thin">
        <color rgb="FF000000"/>
      </left>
      <right style="thin">
        <color rgb="FF000000"/>
      </right>
      <top/>
      <bottom style="thin">
        <color rgb="FF00000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double">
        <color indexed="64"/>
      </bottom>
      <diagonal/>
    </border>
    <border>
      <left style="thin">
        <color rgb="FF000000"/>
      </left>
      <right/>
      <top style="thin">
        <color rgb="FF000000"/>
      </top>
      <bottom style="thin">
        <color rgb="FF000000"/>
      </bottom>
      <diagonal/>
    </border>
    <border>
      <left style="thin">
        <color rgb="FF000000"/>
      </left>
      <right/>
      <top style="thin">
        <color rgb="FF000000"/>
      </top>
      <bottom style="double">
        <color indexed="64"/>
      </bottom>
      <diagonal/>
    </border>
    <border>
      <left style="thin">
        <color rgb="FF000000"/>
      </left>
      <right style="thin">
        <color rgb="FF000000"/>
      </right>
      <top style="thin">
        <color rgb="FF000000"/>
      </top>
      <bottom/>
      <diagonal/>
    </border>
    <border>
      <left/>
      <right/>
      <top/>
      <bottom style="thin">
        <color indexed="64"/>
      </bottom>
      <diagonal/>
    </border>
    <border>
      <left/>
      <right style="thin">
        <color rgb="FF000000"/>
      </right>
      <top/>
      <bottom style="thin">
        <color rgb="FF000000"/>
      </bottom>
      <diagonal/>
    </border>
    <border>
      <left/>
      <right style="thin">
        <color rgb="FF000000"/>
      </right>
      <top style="thin">
        <color rgb="FF000000"/>
      </top>
      <bottom/>
      <diagonal/>
    </border>
    <border>
      <left/>
      <right/>
      <top/>
      <bottom style="medium">
        <color rgb="FF000000"/>
      </bottom>
      <diagonal/>
    </border>
    <border>
      <left style="medium">
        <color rgb="FF000000"/>
      </left>
      <right style="medium">
        <color rgb="FF000000"/>
      </right>
      <top style="medium">
        <color rgb="FF000000"/>
      </top>
      <bottom style="medium">
        <color rgb="FF000000"/>
      </bottom>
      <diagonal/>
    </border>
  </borders>
  <cellStyleXfs count="6">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14" fillId="0" borderId="0" applyNumberFormat="0" applyFill="0" applyBorder="0" applyAlignment="0" applyProtection="0"/>
    <xf numFmtId="0" fontId="1" fillId="9" borderId="0" applyNumberFormat="0" applyBorder="0" applyAlignment="0" applyProtection="0"/>
  </cellStyleXfs>
  <cellXfs count="175">
    <xf numFmtId="0" fontId="0" fillId="0" borderId="0" xfId="0"/>
    <xf numFmtId="0" fontId="3" fillId="0" borderId="0" xfId="0" applyFont="1"/>
    <xf numFmtId="0" fontId="3" fillId="0" borderId="1" xfId="0" applyFont="1" applyBorder="1" applyAlignment="1">
      <alignment horizontal="center" wrapText="1"/>
    </xf>
    <xf numFmtId="0" fontId="0" fillId="0" borderId="1" xfId="0" applyBorder="1" applyAlignment="1">
      <alignment horizontal="center" vertical="center"/>
    </xf>
    <xf numFmtId="0" fontId="0" fillId="0" borderId="1" xfId="0" applyBorder="1"/>
    <xf numFmtId="0" fontId="0" fillId="2" borderId="1" xfId="0" applyFill="1" applyBorder="1" applyAlignment="1">
      <alignment horizontal="center" vertical="center"/>
    </xf>
    <xf numFmtId="0" fontId="5" fillId="0" borderId="1" xfId="0" applyFont="1" applyBorder="1"/>
    <xf numFmtId="0" fontId="5" fillId="0" borderId="1" xfId="0" applyFont="1" applyBorder="1" applyAlignment="1">
      <alignment horizontal="left"/>
    </xf>
    <xf numFmtId="0" fontId="6" fillId="3" borderId="1" xfId="0" applyFont="1" applyFill="1" applyBorder="1"/>
    <xf numFmtId="0" fontId="3" fillId="3" borderId="1" xfId="0" applyFont="1" applyFill="1" applyBorder="1" applyAlignment="1">
      <alignment horizontal="center" wrapText="1"/>
    </xf>
    <xf numFmtId="0" fontId="2" fillId="4" borderId="0" xfId="0" applyFont="1" applyFill="1" applyAlignment="1">
      <alignment horizontal="left"/>
    </xf>
    <xf numFmtId="0" fontId="4" fillId="4" borderId="1" xfId="0" applyFont="1" applyFill="1" applyBorder="1"/>
    <xf numFmtId="164" fontId="0" fillId="0" borderId="1" xfId="0" applyNumberFormat="1" applyBorder="1" applyAlignment="1">
      <alignment horizontal="center" vertical="center"/>
    </xf>
    <xf numFmtId="0" fontId="3" fillId="0" borderId="1" xfId="0" applyFont="1" applyBorder="1"/>
    <xf numFmtId="165" fontId="0" fillId="0" borderId="1" xfId="1" applyNumberFormat="1" applyFont="1" applyBorder="1"/>
    <xf numFmtId="0" fontId="9" fillId="5" borderId="1" xfId="0" applyFont="1" applyFill="1" applyBorder="1" applyAlignment="1">
      <alignment horizontal="center"/>
    </xf>
    <xf numFmtId="0" fontId="5" fillId="0" borderId="1" xfId="0" applyFont="1" applyBorder="1" applyAlignment="1">
      <alignment horizontal="left" wrapText="1"/>
    </xf>
    <xf numFmtId="0" fontId="9" fillId="5" borderId="6" xfId="0" applyFont="1" applyFill="1" applyBorder="1" applyAlignment="1">
      <alignment horizontal="center"/>
    </xf>
    <xf numFmtId="3" fontId="0" fillId="0" borderId="1" xfId="0" applyNumberFormat="1" applyBorder="1" applyAlignment="1">
      <alignment horizontal="center"/>
    </xf>
    <xf numFmtId="165" fontId="10" fillId="0" borderId="1" xfId="1" applyNumberFormat="1" applyFont="1" applyBorder="1"/>
    <xf numFmtId="0" fontId="10" fillId="6" borderId="1" xfId="0" applyFont="1" applyFill="1" applyBorder="1"/>
    <xf numFmtId="0" fontId="10" fillId="0" borderId="1" xfId="0" applyFont="1" applyBorder="1"/>
    <xf numFmtId="165" fontId="10" fillId="6" borderId="1" xfId="1" applyNumberFormat="1" applyFont="1" applyFill="1" applyBorder="1"/>
    <xf numFmtId="166" fontId="0" fillId="0" borderId="1" xfId="1" applyNumberFormat="1" applyFont="1" applyBorder="1"/>
    <xf numFmtId="0" fontId="3" fillId="3" borderId="1" xfId="0" applyFont="1" applyFill="1" applyBorder="1" applyAlignment="1">
      <alignment horizontal="center" vertical="center" wrapText="1"/>
    </xf>
    <xf numFmtId="164" fontId="0" fillId="0" borderId="1" xfId="3" applyNumberFormat="1" applyFont="1" applyBorder="1"/>
    <xf numFmtId="0" fontId="0" fillId="5" borderId="1" xfId="0" applyFill="1" applyBorder="1"/>
    <xf numFmtId="43" fontId="0" fillId="0" borderId="0" xfId="0" applyNumberFormat="1"/>
    <xf numFmtId="0" fontId="3" fillId="3" borderId="1" xfId="0" applyFont="1" applyFill="1" applyBorder="1" applyAlignment="1">
      <alignment horizontal="center"/>
    </xf>
    <xf numFmtId="9" fontId="13" fillId="0" borderId="1" xfId="3" applyFont="1" applyBorder="1"/>
    <xf numFmtId="44" fontId="0" fillId="0" borderId="1" xfId="2" applyFont="1" applyBorder="1"/>
    <xf numFmtId="10" fontId="0" fillId="0" borderId="6" xfId="0" applyNumberFormat="1" applyBorder="1"/>
    <xf numFmtId="0" fontId="3" fillId="7" borderId="6" xfId="0" applyFont="1" applyFill="1" applyBorder="1" applyAlignment="1">
      <alignment horizontal="center"/>
    </xf>
    <xf numFmtId="10" fontId="0" fillId="0" borderId="8" xfId="0" applyNumberFormat="1" applyBorder="1"/>
    <xf numFmtId="0" fontId="3" fillId="0" borderId="1" xfId="0" applyFont="1" applyBorder="1" applyAlignment="1">
      <alignment horizontal="center" vertical="center" wrapText="1"/>
    </xf>
    <xf numFmtId="10" fontId="0" fillId="0" borderId="1" xfId="0" applyNumberFormat="1" applyBorder="1"/>
    <xf numFmtId="6" fontId="0" fillId="0" borderId="1" xfId="0" applyNumberFormat="1" applyBorder="1"/>
    <xf numFmtId="0" fontId="0" fillId="0" borderId="9" xfId="0" applyBorder="1"/>
    <xf numFmtId="0" fontId="0" fillId="0" borderId="4" xfId="0" applyBorder="1"/>
    <xf numFmtId="0" fontId="14" fillId="0" borderId="9" xfId="4" applyBorder="1"/>
    <xf numFmtId="0" fontId="3" fillId="0" borderId="6" xfId="0" applyFont="1" applyBorder="1"/>
    <xf numFmtId="8" fontId="0" fillId="0" borderId="0" xfId="0" applyNumberFormat="1"/>
    <xf numFmtId="167" fontId="0" fillId="0" borderId="0" xfId="0" applyNumberFormat="1"/>
    <xf numFmtId="168" fontId="0" fillId="0" borderId="0" xfId="0" applyNumberFormat="1"/>
    <xf numFmtId="6" fontId="0" fillId="0" borderId="0" xfId="0" applyNumberFormat="1"/>
    <xf numFmtId="10" fontId="0" fillId="0" borderId="0" xfId="0" applyNumberFormat="1"/>
    <xf numFmtId="3" fontId="0" fillId="0" borderId="0" xfId="0" applyNumberFormat="1"/>
    <xf numFmtId="9" fontId="0" fillId="0" borderId="1" xfId="3" applyFont="1" applyBorder="1"/>
    <xf numFmtId="0" fontId="7" fillId="0" borderId="0" xfId="0" applyFont="1" applyAlignment="1">
      <alignment horizontal="center"/>
    </xf>
    <xf numFmtId="0" fontId="0" fillId="0" borderId="1" xfId="0" applyBorder="1" applyAlignment="1">
      <alignment horizontal="left"/>
    </xf>
    <xf numFmtId="0" fontId="7" fillId="0" borderId="1" xfId="0" applyFont="1" applyBorder="1"/>
    <xf numFmtId="165" fontId="0" fillId="0" borderId="0" xfId="1" applyNumberFormat="1" applyFont="1" applyBorder="1"/>
    <xf numFmtId="0" fontId="0" fillId="0" borderId="7" xfId="0" applyBorder="1"/>
    <xf numFmtId="165" fontId="0" fillId="0" borderId="1" xfId="1" applyNumberFormat="1" applyFont="1" applyBorder="1" applyAlignment="1">
      <alignment horizontal="center" vertical="center"/>
    </xf>
    <xf numFmtId="8" fontId="7" fillId="0" borderId="0" xfId="0" applyNumberFormat="1" applyFont="1" applyAlignment="1">
      <alignment horizontal="center" vertical="center"/>
    </xf>
    <xf numFmtId="166" fontId="0" fillId="0" borderId="1" xfId="0" applyNumberFormat="1" applyBorder="1"/>
    <xf numFmtId="0" fontId="17" fillId="0" borderId="0" xfId="0" applyFont="1"/>
    <xf numFmtId="165" fontId="0" fillId="0" borderId="0" xfId="0" applyNumberFormat="1"/>
    <xf numFmtId="43" fontId="0" fillId="0" borderId="1" xfId="1" applyFont="1" applyBorder="1"/>
    <xf numFmtId="0" fontId="3" fillId="0" borderId="0" xfId="0" applyFont="1" applyAlignment="1">
      <alignment horizontal="center"/>
    </xf>
    <xf numFmtId="169" fontId="0" fillId="0" borderId="1" xfId="0" applyNumberFormat="1" applyBorder="1"/>
    <xf numFmtId="0" fontId="0" fillId="0" borderId="0" xfId="0" applyAlignment="1">
      <alignment horizontal="center"/>
    </xf>
    <xf numFmtId="0" fontId="2" fillId="11" borderId="11" xfId="0" applyFont="1" applyFill="1" applyBorder="1" applyAlignment="1">
      <alignment horizontal="center" vertical="center" wrapText="1"/>
    </xf>
    <xf numFmtId="0" fontId="2" fillId="11" borderId="12" xfId="0" applyFont="1" applyFill="1" applyBorder="1" applyAlignment="1">
      <alignment horizontal="center" vertical="center" wrapText="1"/>
    </xf>
    <xf numFmtId="1" fontId="0" fillId="0" borderId="14" xfId="0" applyNumberFormat="1" applyBorder="1" applyAlignment="1">
      <alignment horizontal="center" vertical="center"/>
    </xf>
    <xf numFmtId="1" fontId="0" fillId="0" borderId="0" xfId="0" applyNumberFormat="1" applyAlignment="1">
      <alignment horizontal="center" vertical="center"/>
    </xf>
    <xf numFmtId="1" fontId="0" fillId="12" borderId="0" xfId="0" applyNumberFormat="1" applyFill="1" applyAlignment="1">
      <alignment horizontal="center" vertical="center"/>
    </xf>
    <xf numFmtId="1" fontId="0" fillId="12" borderId="14" xfId="0" applyNumberFormat="1" applyFill="1" applyBorder="1" applyAlignment="1">
      <alignment horizontal="center" vertical="center"/>
    </xf>
    <xf numFmtId="1" fontId="0" fillId="0" borderId="17" xfId="0" applyNumberFormat="1" applyBorder="1" applyAlignment="1">
      <alignment horizontal="center" vertical="center"/>
    </xf>
    <xf numFmtId="3" fontId="0" fillId="0" borderId="1" xfId="0" applyNumberFormat="1" applyBorder="1"/>
    <xf numFmtId="0" fontId="19" fillId="9" borderId="0" xfId="5" applyFont="1" applyAlignment="1">
      <alignment horizontal="center" wrapText="1"/>
    </xf>
    <xf numFmtId="0" fontId="20" fillId="0" borderId="7" xfId="0" applyFont="1" applyBorder="1" applyAlignment="1">
      <alignment horizontal="center" vertical="center"/>
    </xf>
    <xf numFmtId="9" fontId="13" fillId="13" borderId="1" xfId="3" applyFont="1" applyFill="1" applyBorder="1"/>
    <xf numFmtId="9" fontId="13" fillId="0" borderId="0" xfId="3" applyFont="1" applyFill="1" applyBorder="1"/>
    <xf numFmtId="9" fontId="0" fillId="0" borderId="0" xfId="0" applyNumberFormat="1"/>
    <xf numFmtId="3" fontId="0" fillId="14" borderId="1" xfId="0" applyNumberFormat="1" applyFill="1" applyBorder="1" applyAlignment="1">
      <alignment horizontal="center"/>
    </xf>
    <xf numFmtId="2" fontId="0" fillId="0" borderId="0" xfId="0" applyNumberFormat="1"/>
    <xf numFmtId="164" fontId="0" fillId="0" borderId="0" xfId="3" applyNumberFormat="1" applyFont="1"/>
    <xf numFmtId="0" fontId="15" fillId="0" borderId="0" xfId="0" applyFont="1" applyFill="1" applyBorder="1" applyAlignment="1">
      <alignment horizontal="center" vertical="center" wrapText="1"/>
    </xf>
    <xf numFmtId="0" fontId="0" fillId="0" borderId="0" xfId="0" applyFill="1" applyBorder="1"/>
    <xf numFmtId="0" fontId="21" fillId="0" borderId="0" xfId="0" applyFont="1" applyFill="1" applyBorder="1" applyAlignment="1">
      <alignment vertical="center"/>
    </xf>
    <xf numFmtId="0" fontId="8" fillId="0" borderId="0" xfId="0" applyFont="1" applyFill="1" applyBorder="1" applyAlignment="1">
      <alignment horizontal="center" vertical="center"/>
    </xf>
    <xf numFmtId="0" fontId="22" fillId="0" borderId="0" xfId="0" applyFont="1" applyFill="1" applyBorder="1" applyAlignment="1">
      <alignment horizontal="center" vertical="center"/>
    </xf>
    <xf numFmtId="0" fontId="8" fillId="0" borderId="0" xfId="0" applyFont="1" applyFill="1" applyBorder="1" applyAlignment="1">
      <alignment horizontal="center" vertical="center" wrapText="1"/>
    </xf>
    <xf numFmtId="0" fontId="15" fillId="0" borderId="0" xfId="0" applyFont="1" applyFill="1" applyBorder="1" applyAlignment="1">
      <alignment horizontal="center" vertical="center"/>
    </xf>
    <xf numFmtId="3" fontId="23" fillId="0" borderId="0" xfId="0" applyNumberFormat="1" applyFont="1" applyFill="1" applyBorder="1" applyAlignment="1">
      <alignment horizontal="center" vertical="center"/>
    </xf>
    <xf numFmtId="164" fontId="0" fillId="0" borderId="0" xfId="3" applyNumberFormat="1" applyFont="1" applyFill="1" applyBorder="1"/>
    <xf numFmtId="0" fontId="0" fillId="0" borderId="0" xfId="0" applyAlignment="1">
      <alignment wrapText="1"/>
    </xf>
    <xf numFmtId="0" fontId="7" fillId="0" borderId="0" xfId="0" applyFont="1" applyAlignment="1">
      <alignment wrapText="1"/>
    </xf>
    <xf numFmtId="0" fontId="3" fillId="3" borderId="4" xfId="0" applyFont="1" applyFill="1" applyBorder="1" applyAlignment="1">
      <alignment horizontal="center"/>
    </xf>
    <xf numFmtId="0" fontId="0" fillId="0" borderId="7" xfId="0" applyBorder="1" applyAlignment="1">
      <alignment horizontal="left"/>
    </xf>
    <xf numFmtId="165" fontId="0" fillId="0" borderId="18" xfId="1" applyNumberFormat="1" applyFont="1" applyBorder="1"/>
    <xf numFmtId="0" fontId="7" fillId="0" borderId="19" xfId="0" applyFont="1" applyBorder="1"/>
    <xf numFmtId="165" fontId="0" fillId="0" borderId="1" xfId="1" applyNumberFormat="1" applyFont="1" applyFill="1" applyBorder="1"/>
    <xf numFmtId="0" fontId="7" fillId="0" borderId="20" xfId="0" applyFont="1" applyBorder="1"/>
    <xf numFmtId="165" fontId="0" fillId="0" borderId="7" xfId="1" applyNumberFormat="1" applyFont="1" applyBorder="1"/>
    <xf numFmtId="0" fontId="18" fillId="0" borderId="0" xfId="0" applyFont="1" applyAlignment="1">
      <alignment wrapText="1"/>
    </xf>
    <xf numFmtId="165" fontId="8" fillId="0" borderId="3" xfId="1" applyNumberFormat="1" applyFont="1" applyBorder="1"/>
    <xf numFmtId="165" fontId="25" fillId="0" borderId="3" xfId="1" applyNumberFormat="1" applyFont="1" applyBorder="1"/>
    <xf numFmtId="165" fontId="8" fillId="0" borderId="2" xfId="1" applyNumberFormat="1" applyFont="1" applyBorder="1"/>
    <xf numFmtId="0" fontId="18" fillId="0" borderId="13" xfId="0" applyFont="1" applyBorder="1" applyAlignment="1">
      <alignment horizontal="left" vertical="center" wrapText="1"/>
    </xf>
    <xf numFmtId="0" fontId="18" fillId="12" borderId="15" xfId="0" applyFont="1" applyFill="1" applyBorder="1" applyAlignment="1">
      <alignment horizontal="left" vertical="center" wrapText="1"/>
    </xf>
    <xf numFmtId="0" fontId="18" fillId="0" borderId="15" xfId="0" applyFont="1" applyBorder="1" applyAlignment="1">
      <alignment horizontal="left" vertical="center" wrapText="1"/>
    </xf>
    <xf numFmtId="0" fontId="0" fillId="12" borderId="13" xfId="0" applyFill="1" applyBorder="1" applyAlignment="1">
      <alignment horizontal="left" vertical="center"/>
    </xf>
    <xf numFmtId="0" fontId="18" fillId="0" borderId="16" xfId="0" applyFont="1" applyBorder="1" applyAlignment="1">
      <alignment horizontal="left" vertical="center" wrapText="1"/>
    </xf>
    <xf numFmtId="1" fontId="0" fillId="12" borderId="0" xfId="0" applyNumberFormat="1" applyFill="1" applyBorder="1" applyAlignment="1">
      <alignment horizontal="center" vertical="center"/>
    </xf>
    <xf numFmtId="1" fontId="0" fillId="0" borderId="0" xfId="0" applyNumberFormat="1" applyBorder="1" applyAlignment="1">
      <alignment horizontal="center" vertical="center"/>
    </xf>
    <xf numFmtId="170" fontId="8" fillId="0" borderId="1" xfId="0" applyNumberFormat="1" applyFont="1" applyBorder="1"/>
    <xf numFmtId="171" fontId="8" fillId="0" borderId="1" xfId="0" applyNumberFormat="1" applyFont="1" applyBorder="1"/>
    <xf numFmtId="0" fontId="26" fillId="0" borderId="0" xfId="0" applyFont="1"/>
    <xf numFmtId="172" fontId="0" fillId="0" borderId="1" xfId="0" applyNumberFormat="1" applyBorder="1" applyAlignment="1">
      <alignment horizontal="right" vertical="center"/>
    </xf>
    <xf numFmtId="0" fontId="3" fillId="0" borderId="0" xfId="0" applyFont="1" applyFill="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right"/>
    </xf>
    <xf numFmtId="0" fontId="27" fillId="0" borderId="1" xfId="0" applyFont="1" applyBorder="1" applyAlignment="1">
      <alignment horizontal="center" vertical="center"/>
    </xf>
    <xf numFmtId="0" fontId="28" fillId="0" borderId="1" xfId="0" applyFont="1" applyBorder="1" applyAlignment="1">
      <alignment horizontal="right"/>
    </xf>
    <xf numFmtId="173" fontId="0" fillId="0" borderId="0" xfId="0" applyNumberFormat="1"/>
    <xf numFmtId="0" fontId="27" fillId="0" borderId="0" xfId="0" applyFont="1" applyAlignment="1">
      <alignment horizontal="center"/>
    </xf>
    <xf numFmtId="0" fontId="0" fillId="0" borderId="6" xfId="0" applyBorder="1"/>
    <xf numFmtId="0" fontId="0" fillId="0" borderId="1" xfId="0" applyBorder="1" applyAlignment="1">
      <alignment horizontal="center"/>
    </xf>
    <xf numFmtId="3" fontId="7" fillId="0" borderId="1" xfId="0" applyNumberFormat="1" applyFont="1" applyBorder="1"/>
    <xf numFmtId="4" fontId="7" fillId="0" borderId="1" xfId="0" applyNumberFormat="1" applyFont="1" applyBorder="1"/>
    <xf numFmtId="0" fontId="3" fillId="0" borderId="0" xfId="0" applyFont="1" applyFill="1" applyAlignment="1">
      <alignment horizontal="left"/>
    </xf>
    <xf numFmtId="0" fontId="29" fillId="0" borderId="1" xfId="0" applyFont="1" applyBorder="1" applyAlignment="1">
      <alignment horizontal="center"/>
    </xf>
    <xf numFmtId="171" fontId="0" fillId="0" borderId="1" xfId="0" applyNumberFormat="1" applyBorder="1"/>
    <xf numFmtId="0" fontId="0" fillId="0" borderId="21" xfId="0" applyBorder="1" applyAlignment="1">
      <alignment horizontal="left"/>
    </xf>
    <xf numFmtId="0" fontId="0" fillId="5" borderId="1" xfId="0" applyFill="1" applyBorder="1" applyAlignment="1">
      <alignment horizontal="left"/>
    </xf>
    <xf numFmtId="0" fontId="8" fillId="8" borderId="1" xfId="0" applyFont="1" applyFill="1" applyBorder="1"/>
    <xf numFmtId="165" fontId="8" fillId="0" borderId="4" xfId="0" applyNumberFormat="1" applyFont="1" applyBorder="1"/>
    <xf numFmtId="0" fontId="16" fillId="0" borderId="5" xfId="0" applyFont="1" applyBorder="1"/>
    <xf numFmtId="165" fontId="3" fillId="0" borderId="5" xfId="1" applyNumberFormat="1" applyFont="1" applyBorder="1"/>
    <xf numFmtId="0" fontId="16" fillId="0" borderId="0" xfId="0" applyFont="1"/>
    <xf numFmtId="165" fontId="3" fillId="0" borderId="0" xfId="1" applyNumberFormat="1" applyFont="1" applyBorder="1"/>
    <xf numFmtId="0" fontId="7" fillId="0" borderId="0" xfId="0" applyFont="1"/>
    <xf numFmtId="165" fontId="30" fillId="0" borderId="3" xfId="1" applyNumberFormat="1" applyFont="1" applyBorder="1"/>
    <xf numFmtId="165" fontId="8" fillId="0" borderId="10" xfId="1" applyNumberFormat="1" applyFont="1" applyBorder="1"/>
    <xf numFmtId="165" fontId="8" fillId="0" borderId="23" xfId="1" applyNumberFormat="1" applyFont="1" applyBorder="1"/>
    <xf numFmtId="0" fontId="8" fillId="8" borderId="2" xfId="0" applyFont="1" applyFill="1" applyBorder="1"/>
    <xf numFmtId="0" fontId="8" fillId="8" borderId="7" xfId="0" applyFont="1" applyFill="1" applyBorder="1"/>
    <xf numFmtId="165" fontId="8" fillId="0" borderId="24" xfId="1" applyNumberFormat="1" applyFont="1" applyBorder="1"/>
    <xf numFmtId="171" fontId="8" fillId="10" borderId="1" xfId="0" applyNumberFormat="1" applyFont="1" applyFill="1" applyBorder="1"/>
    <xf numFmtId="170" fontId="8" fillId="10" borderId="1" xfId="0" applyNumberFormat="1" applyFont="1" applyFill="1" applyBorder="1"/>
    <xf numFmtId="164" fontId="0" fillId="10" borderId="1" xfId="0" applyNumberFormat="1" applyFill="1" applyBorder="1" applyAlignment="1">
      <alignment horizontal="center" vertical="center"/>
    </xf>
    <xf numFmtId="172" fontId="0" fillId="10" borderId="1" xfId="0" applyNumberFormat="1" applyFill="1" applyBorder="1" applyAlignment="1">
      <alignment horizontal="right" vertical="center"/>
    </xf>
    <xf numFmtId="165" fontId="0" fillId="10" borderId="1" xfId="1" applyNumberFormat="1" applyFont="1" applyFill="1" applyBorder="1" applyAlignment="1">
      <alignment horizontal="center" vertical="center"/>
    </xf>
    <xf numFmtId="166" fontId="0" fillId="10" borderId="1" xfId="1" applyNumberFormat="1" applyFont="1" applyFill="1" applyBorder="1"/>
    <xf numFmtId="166" fontId="0" fillId="10" borderId="1" xfId="0" applyNumberFormat="1" applyFill="1" applyBorder="1"/>
    <xf numFmtId="43" fontId="0" fillId="10" borderId="1" xfId="1" applyFont="1" applyFill="1" applyBorder="1"/>
    <xf numFmtId="44" fontId="0" fillId="10" borderId="1" xfId="2" applyFont="1" applyFill="1" applyBorder="1"/>
    <xf numFmtId="3" fontId="0" fillId="10" borderId="1" xfId="0" applyNumberFormat="1" applyFill="1" applyBorder="1" applyAlignment="1">
      <alignment horizontal="center"/>
    </xf>
    <xf numFmtId="3" fontId="7" fillId="10" borderId="1" xfId="0" applyNumberFormat="1" applyFont="1" applyFill="1" applyBorder="1"/>
    <xf numFmtId="0" fontId="7" fillId="10" borderId="1" xfId="0" applyFont="1" applyFill="1" applyBorder="1"/>
    <xf numFmtId="169" fontId="0" fillId="10" borderId="1" xfId="1" applyNumberFormat="1" applyFont="1" applyFill="1" applyBorder="1"/>
    <xf numFmtId="169" fontId="7" fillId="10" borderId="1" xfId="0" applyNumberFormat="1" applyFont="1" applyFill="1" applyBorder="1"/>
    <xf numFmtId="3" fontId="10" fillId="6" borderId="1" xfId="1" applyNumberFormat="1" applyFont="1" applyFill="1" applyBorder="1"/>
    <xf numFmtId="3" fontId="5" fillId="0" borderId="1" xfId="0" applyNumberFormat="1" applyFont="1" applyBorder="1" applyAlignment="1">
      <alignment horizontal="center"/>
    </xf>
    <xf numFmtId="9" fontId="13" fillId="15" borderId="1" xfId="3" applyFont="1" applyFill="1" applyBorder="1"/>
    <xf numFmtId="0" fontId="16" fillId="3" borderId="19" xfId="0" applyFont="1" applyFill="1" applyBorder="1" applyAlignment="1">
      <alignment wrapText="1"/>
    </xf>
    <xf numFmtId="10" fontId="7" fillId="0" borderId="19" xfId="0" applyNumberFormat="1" applyFont="1" applyBorder="1"/>
    <xf numFmtId="0" fontId="0" fillId="0" borderId="0" xfId="0" applyBorder="1"/>
    <xf numFmtId="0" fontId="7" fillId="0" borderId="0" xfId="0" applyFont="1" applyBorder="1"/>
    <xf numFmtId="0" fontId="3" fillId="0" borderId="0" xfId="0" applyFont="1" applyFill="1" applyBorder="1"/>
    <xf numFmtId="1" fontId="7" fillId="10" borderId="1" xfId="0" applyNumberFormat="1" applyFont="1" applyFill="1" applyBorder="1"/>
    <xf numFmtId="0" fontId="3" fillId="0" borderId="0" xfId="0" applyFont="1" applyFill="1" applyBorder="1" applyAlignment="1">
      <alignment horizontal="center" wrapText="1"/>
    </xf>
    <xf numFmtId="170" fontId="0" fillId="0" borderId="0" xfId="0" applyNumberFormat="1" applyFill="1" applyBorder="1"/>
    <xf numFmtId="166" fontId="0" fillId="0" borderId="1" xfId="1" applyNumberFormat="1" applyFont="1" applyBorder="1" applyAlignment="1">
      <alignment horizontal="center" vertical="center"/>
    </xf>
    <xf numFmtId="166" fontId="0" fillId="10" borderId="1" xfId="1" applyNumberFormat="1" applyFont="1" applyFill="1" applyBorder="1" applyAlignment="1">
      <alignment horizontal="center" vertical="center"/>
    </xf>
    <xf numFmtId="0" fontId="31" fillId="16" borderId="25" xfId="0" applyFont="1" applyFill="1" applyBorder="1" applyAlignment="1">
      <alignment horizontal="left" wrapText="1" readingOrder="1"/>
    </xf>
    <xf numFmtId="0" fontId="31" fillId="16" borderId="25" xfId="0" applyFont="1" applyFill="1" applyBorder="1" applyAlignment="1">
      <alignment horizontal="right" wrapText="1" readingOrder="1"/>
    </xf>
    <xf numFmtId="0" fontId="32" fillId="0" borderId="26" xfId="0" applyFont="1" applyBorder="1" applyAlignment="1">
      <alignment horizontal="left" wrapText="1" readingOrder="1"/>
    </xf>
    <xf numFmtId="0" fontId="28" fillId="0" borderId="0" xfId="0" applyFont="1"/>
    <xf numFmtId="9" fontId="32" fillId="0" borderId="26" xfId="0" applyNumberFormat="1" applyFont="1" applyBorder="1" applyAlignment="1">
      <alignment horizontal="center" wrapText="1" readingOrder="1"/>
    </xf>
    <xf numFmtId="0" fontId="33" fillId="0" borderId="26" xfId="0" applyFont="1" applyBorder="1" applyAlignment="1">
      <alignment horizontal="center" vertical="center" wrapText="1"/>
    </xf>
    <xf numFmtId="3" fontId="7" fillId="0" borderId="1" xfId="0" applyNumberFormat="1" applyFont="1" applyBorder="1" applyAlignment="1">
      <alignment horizontal="center"/>
    </xf>
    <xf numFmtId="0" fontId="3" fillId="0" borderId="22" xfId="0" applyFont="1" applyBorder="1" applyAlignment="1">
      <alignment horizontal="center"/>
    </xf>
  </cellXfs>
  <cellStyles count="6">
    <cellStyle name="60% - Accent5" xfId="5" builtinId="48"/>
    <cellStyle name="Comma" xfId="1" builtinId="3"/>
    <cellStyle name="Currency" xfId="2" builtinId="4"/>
    <cellStyle name="Hyperlink" xfId="4" builtinId="8"/>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_rels/chart23.xml.rels><?xml version="1.0" encoding="UTF-8" standalone="yes"?>
<Relationships xmlns="http://schemas.openxmlformats.org/package/2006/relationships"><Relationship Id="rId2" Type="http://schemas.microsoft.com/office/2011/relationships/chartColorStyle" Target="colors23.xml"/><Relationship Id="rId1" Type="http://schemas.microsoft.com/office/2011/relationships/chartStyle" Target="style23.xml"/></Relationships>
</file>

<file path=xl/charts/_rels/chart24.xml.rels><?xml version="1.0" encoding="UTF-8" standalone="yes"?>
<Relationships xmlns="http://schemas.openxmlformats.org/package/2006/relationships"><Relationship Id="rId2" Type="http://schemas.microsoft.com/office/2011/relationships/chartColorStyle" Target="colors24.xml"/><Relationship Id="rId1" Type="http://schemas.microsoft.com/office/2011/relationships/chartStyle" Target="style24.xml"/></Relationships>
</file>

<file path=xl/charts/_rels/chart25.xml.rels><?xml version="1.0" encoding="UTF-8" standalone="yes"?>
<Relationships xmlns="http://schemas.openxmlformats.org/package/2006/relationships"><Relationship Id="rId2" Type="http://schemas.microsoft.com/office/2011/relationships/chartColorStyle" Target="colors25.xml"/><Relationship Id="rId1" Type="http://schemas.microsoft.com/office/2011/relationships/chartStyle" Target="style25.xml"/></Relationships>
</file>

<file path=xl/charts/_rels/chart26.xml.rels><?xml version="1.0" encoding="UTF-8" standalone="yes"?>
<Relationships xmlns="http://schemas.openxmlformats.org/package/2006/relationships"><Relationship Id="rId2" Type="http://schemas.microsoft.com/office/2011/relationships/chartColorStyle" Target="colors26.xml"/><Relationship Id="rId1" Type="http://schemas.microsoft.com/office/2011/relationships/chartStyle" Target="style26.xml"/></Relationships>
</file>

<file path=xl/charts/_rels/chart27.xml.rels><?xml version="1.0" encoding="UTF-8" standalone="yes"?>
<Relationships xmlns="http://schemas.openxmlformats.org/package/2006/relationships"><Relationship Id="rId2" Type="http://schemas.microsoft.com/office/2011/relationships/chartColorStyle" Target="colors27.xml"/><Relationship Id="rId1" Type="http://schemas.microsoft.com/office/2011/relationships/chartStyle" Target="style27.xml"/></Relationships>
</file>

<file path=xl/charts/_rels/chart28.xml.rels><?xml version="1.0" encoding="UTF-8" standalone="yes"?>
<Relationships xmlns="http://schemas.openxmlformats.org/package/2006/relationships"><Relationship Id="rId2" Type="http://schemas.microsoft.com/office/2011/relationships/chartColorStyle" Target="colors28.xml"/><Relationship Id="rId1" Type="http://schemas.microsoft.com/office/2011/relationships/chartStyle" Target="style28.xml"/></Relationships>
</file>

<file path=xl/charts/_rels/chart29.xml.rels><?xml version="1.0" encoding="UTF-8" standalone="yes"?>
<Relationships xmlns="http://schemas.openxmlformats.org/package/2006/relationships"><Relationship Id="rId2" Type="http://schemas.microsoft.com/office/2011/relationships/chartColorStyle" Target="colors29.xml"/><Relationship Id="rId1" Type="http://schemas.microsoft.com/office/2011/relationships/chartStyle" Target="style29.xml"/></Relationships>
</file>

<file path=xl/charts/_rels/chart30.xml.rels><?xml version="1.0" encoding="UTF-8" standalone="yes"?>
<Relationships xmlns="http://schemas.openxmlformats.org/package/2006/relationships"><Relationship Id="rId2" Type="http://schemas.microsoft.com/office/2011/relationships/chartColorStyle" Target="colors30.xml"/><Relationship Id="rId1" Type="http://schemas.microsoft.com/office/2011/relationships/chartStyle" Target="style30.xml"/></Relationships>
</file>

<file path=xl/charts/_rels/chart31.xml.rels><?xml version="1.0" encoding="UTF-8" standalone="yes"?>
<Relationships xmlns="http://schemas.openxmlformats.org/package/2006/relationships"><Relationship Id="rId2" Type="http://schemas.microsoft.com/office/2011/relationships/chartColorStyle" Target="colors31.xml"/><Relationship Id="rId1" Type="http://schemas.microsoft.com/office/2011/relationships/chartStyle" Target="style31.xml"/></Relationships>
</file>

<file path=xl/charts/_rels/chart32.xml.rels><?xml version="1.0" encoding="UTF-8" standalone="yes"?>
<Relationships xmlns="http://schemas.openxmlformats.org/package/2006/relationships"><Relationship Id="rId2" Type="http://schemas.microsoft.com/office/2011/relationships/chartColorStyle" Target="colors32.xml"/><Relationship Id="rId1" Type="http://schemas.microsoft.com/office/2011/relationships/chartStyle" Target="style32.xml"/></Relationships>
</file>

<file path=xl/charts/_rels/chart33.xml.rels><?xml version="1.0" encoding="UTF-8" standalone="yes"?>
<Relationships xmlns="http://schemas.openxmlformats.org/package/2006/relationships"><Relationship Id="rId2" Type="http://schemas.microsoft.com/office/2011/relationships/chartColorStyle" Target="colors33.xml"/><Relationship Id="rId1" Type="http://schemas.microsoft.com/office/2011/relationships/chartStyle" Target="style33.xml"/></Relationships>
</file>

<file path=xl/charts/_rels/chart34.xml.rels><?xml version="1.0" encoding="UTF-8" standalone="yes"?>
<Relationships xmlns="http://schemas.openxmlformats.org/package/2006/relationships"><Relationship Id="rId2" Type="http://schemas.microsoft.com/office/2011/relationships/chartColorStyle" Target="colors34.xml"/><Relationship Id="rId1" Type="http://schemas.microsoft.com/office/2011/relationships/chartStyle" Target="style34.xml"/></Relationships>
</file>

<file path=xl/charts/_rels/chart35.xml.rels><?xml version="1.0" encoding="UTF-8" standalone="yes"?>
<Relationships xmlns="http://schemas.openxmlformats.org/package/2006/relationships"><Relationship Id="rId2" Type="http://schemas.microsoft.com/office/2011/relationships/chartColorStyle" Target="colors35.xml"/><Relationship Id="rId1" Type="http://schemas.microsoft.com/office/2011/relationships/chartStyle" Target="style35.xml"/></Relationships>
</file>

<file path=xl/charts/_rels/chart36.xml.rels><?xml version="1.0" encoding="UTF-8" standalone="yes"?>
<Relationships xmlns="http://schemas.openxmlformats.org/package/2006/relationships"><Relationship Id="rId2" Type="http://schemas.microsoft.com/office/2011/relationships/chartColorStyle" Target="colors36.xml"/><Relationship Id="rId1" Type="http://schemas.microsoft.com/office/2011/relationships/chartStyle" Target="style36.xml"/></Relationships>
</file>

<file path=xl/charts/_rels/chart37.xml.rels><?xml version="1.0" encoding="UTF-8" standalone="yes"?>
<Relationships xmlns="http://schemas.openxmlformats.org/package/2006/relationships"><Relationship Id="rId2" Type="http://schemas.microsoft.com/office/2011/relationships/chartColorStyle" Target="colors37.xml"/><Relationship Id="rId1" Type="http://schemas.microsoft.com/office/2011/relationships/chartStyle" Target="style37.xml"/></Relationships>
</file>

<file path=xl/charts/_rels/chart38.xml.rels><?xml version="1.0" encoding="UTF-8" standalone="yes"?>
<Relationships xmlns="http://schemas.openxmlformats.org/package/2006/relationships"><Relationship Id="rId2" Type="http://schemas.microsoft.com/office/2011/relationships/chartColorStyle" Target="colors38.xml"/><Relationship Id="rId1" Type="http://schemas.microsoft.com/office/2011/relationships/chartStyle" Target="style3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NPV of 20-Yr Annual Net Costs ($B)</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'Net Cost'!$B$5</c:f>
              <c:strCache>
                <c:ptCount val="1"/>
                <c:pt idx="0">
                  <c:v>UPLAN - Normal Conditions</c:v>
                </c:pt>
              </c:strCache>
            </c:strRef>
          </c:tx>
          <c:spPr>
            <a:solidFill>
              <a:schemeClr val="accent2"/>
            </a:solidFill>
            <a:ln>
              <a:noFill/>
            </a:ln>
            <a:effectLst/>
          </c:spPr>
          <c:invertIfNegative val="0"/>
          <c:cat>
            <c:numRef>
              <c:f>'Net Cost'!$A$6:$A$22</c:f>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'Net Cost'!$B$6:$B$22</c:f>
              <c:numCache>
                <c:formatCode>_(* #,##0.0_);_(* \(#,##0.0\);_(* "-"??_);_(@_)</c:formatCode>
                <c:ptCount val="17"/>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pt idx="13" formatCode="0.0">
                  <c:v>9.1482297936070847</c:v>
                </c:pt>
                <c:pt idx="14" formatCode="0.0">
                  <c:v>10.925653777682868</c:v>
                </c:pt>
                <c:pt idx="15" formatCode="0.0">
                  <c:v>10.846411811098964</c:v>
                </c:pt>
                <c:pt idx="16" formatCode="0.0">
                  <c:v>10.604367254095976</c:v>
                </c:pt>
              </c:numCache>
            </c:numRef>
          </c:val>
          <c:extLst xmlns:c15="http://schemas.microsoft.com/office/drawing/2012/chart">
            <c:ext xmlns:c16="http://schemas.microsoft.com/office/drawing/2014/chart" uri="{C3380CC4-5D6E-409C-BE32-E72D297353CC}">
              <c16:uniqueId val="{00000000-EA01-4D94-BD6B-3B2D79C56682}"/>
            </c:ext>
          </c:extLst>
        </c:ser>
        <c:dLbls>
          <c:showLegendKey val="0"/>
          <c:showVal val="0"/>
          <c:showCatName val="0"/>
          <c:showSerName val="0"/>
          <c:showPercent val="0"/>
          <c:showBubbleSize val="0"/>
        </c:dLbls>
        <c:gapWidth val="150"/>
        <c:axId val="1271311887"/>
        <c:axId val="1271312367"/>
        <c:extLst>
          <c:ext xmlns:c15="http://schemas.microsoft.com/office/drawing/2012/chart" uri="{02D57815-91ED-43cb-92C2-25804820EDAC}">
            <c15:filteredBarSeries>
              <c15:ser>
                <c:idx val="1"/>
                <c:order val="1"/>
                <c:spPr>
                  <a:solidFill>
                    <a:schemeClr val="accent2"/>
                  </a:solidFill>
                  <a:ln w="25400">
                    <a:noFill/>
                  </a:ln>
                  <a:effectLst/>
                </c:spPr>
                <c:invertIfNegative val="0"/>
                <c:cat>
                  <c:numRef>
                    <c:extLst>
                      <c:ext uri="{02D57815-91ED-43cb-92C2-25804820EDAC}">
                        <c15:formulaRef>
                          <c15:sqref>'Net Cost'!$A$6:$A$22</c15:sqref>
                        </c15:formulaRef>
                      </c:ext>
                    </c:extLst>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extLst>
                      <c:ext uri="{02D57815-91ED-43cb-92C2-25804820EDAC}">
                        <c15:formulaRef>
                          <c15:sqref>'Net Cost'!$B$6:$B$18</c15:sqref>
                        </c15:formulaRef>
                      </c:ext>
                    </c:extLst>
                    <c:numCache>
                      <c:formatCode>_(* #,##0.0_);_(* \(#,##0.0\);_(* "-"??_);_(@_)</c:formatCode>
                      <c:ptCount val="13"/>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numCache>
                  </c:numRef>
                </c:val>
                <c:extLst>
                  <c:ext xmlns:c16="http://schemas.microsoft.com/office/drawing/2014/chart" uri="{C3380CC4-5D6E-409C-BE32-E72D297353CC}">
                    <c16:uniqueId val="{00000001-EA01-4D94-BD6B-3B2D79C56682}"/>
                  </c:ext>
                </c:extLst>
              </c15:ser>
            </c15:filteredBarSeries>
          </c:ext>
        </c:extLst>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$B</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_(* #,##0.0_);_(* \(#,##0.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NPV of 20-Yr Annual Net Costs ($B)</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'Net Cost'!$B$5</c:f>
              <c:strCache>
                <c:ptCount val="1"/>
                <c:pt idx="0">
                  <c:v>UPLAN - Normal Conditions</c:v>
                </c:pt>
              </c:strCache>
            </c:strRef>
          </c:tx>
          <c:spPr>
            <a:solidFill>
              <a:schemeClr val="accent2"/>
            </a:solidFill>
            <a:ln>
              <a:noFill/>
            </a:ln>
            <a:effectLst/>
          </c:spPr>
          <c:invertIfNegative val="0"/>
          <c:cat>
            <c:numRef>
              <c:f>'Net Cost'!$A$6:$A$22</c:f>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'Net Cost'!$B$6:$B$22</c:f>
              <c:numCache>
                <c:formatCode>_(* #,##0.0_);_(* \(#,##0.0\);_(* "-"??_);_(@_)</c:formatCode>
                <c:ptCount val="17"/>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pt idx="13" formatCode="0.0">
                  <c:v>9.1482297936070847</c:v>
                </c:pt>
                <c:pt idx="14" formatCode="0.0">
                  <c:v>10.925653777682868</c:v>
                </c:pt>
                <c:pt idx="15" formatCode="0.0">
                  <c:v>10.846411811098964</c:v>
                </c:pt>
                <c:pt idx="16" formatCode="0.0">
                  <c:v>10.604367254095976</c:v>
                </c:pt>
              </c:numCache>
            </c:numRef>
          </c:val>
          <c:extLst xmlns:c15="http://schemas.microsoft.com/office/drawing/2012/chart">
            <c:ext xmlns:c16="http://schemas.microsoft.com/office/drawing/2014/chart" uri="{C3380CC4-5D6E-409C-BE32-E72D297353CC}">
              <c16:uniqueId val="{00000000-9B34-49AD-87D2-8ED682DA5C98}"/>
            </c:ext>
          </c:extLst>
        </c:ser>
        <c:ser>
          <c:idx val="2"/>
          <c:order val="1"/>
          <c:tx>
            <c:strRef>
              <c:f>'Net Cost'!$C$5</c:f>
              <c:strCache>
                <c:ptCount val="1"/>
                <c:pt idx="0">
                  <c:v>Extreme Weather Scenario</c:v>
                </c:pt>
              </c:strCache>
            </c:strRef>
          </c:tx>
          <c:spPr>
            <a:solidFill>
              <a:schemeClr val="accent1"/>
            </a:solidFill>
            <a:ln w="25400">
              <a:noFill/>
            </a:ln>
            <a:effectLst/>
          </c:spPr>
          <c:invertIfNegative val="0"/>
          <c:cat>
            <c:numRef>
              <c:f>'Net Cost'!$A$6:$A$22</c:f>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'Net Cost'!$I$6:$I$22</c:f>
              <c:numCache>
                <c:formatCode>_(* #,##0.00_);_(* \(#,##0.00\);_(* "-"??_);_(@_)</c:formatCode>
                <c:ptCount val="17"/>
                <c:pt idx="0">
                  <c:v>3.6960812720114156</c:v>
                </c:pt>
                <c:pt idx="1">
                  <c:v>4.0001233367147062</c:v>
                </c:pt>
                <c:pt idx="2">
                  <c:v>2.25021797919285</c:v>
                </c:pt>
                <c:pt idx="3">
                  <c:v>1.208</c:v>
                </c:pt>
                <c:pt idx="4">
                  <c:v>4.1848175103461545</c:v>
                </c:pt>
                <c:pt idx="5">
                  <c:v>3.9777504376471895</c:v>
                </c:pt>
                <c:pt idx="6">
                  <c:v>3.8561195147377174</c:v>
                </c:pt>
                <c:pt idx="7">
                  <c:v>3.0579358565090282</c:v>
                </c:pt>
                <c:pt idx="8">
                  <c:v>3.6228300345769293</c:v>
                </c:pt>
                <c:pt idx="9">
                  <c:v>3.4562913036718004</c:v>
                </c:pt>
                <c:pt idx="10">
                  <c:v>2.1352655952731414</c:v>
                </c:pt>
                <c:pt idx="11">
                  <c:v>4.1236622122338762</c:v>
                </c:pt>
                <c:pt idx="12">
                  <c:v>4.2928773239226956</c:v>
                </c:pt>
                <c:pt idx="13">
                  <c:v>3.3141219086123246</c:v>
                </c:pt>
                <c:pt idx="14">
                  <c:v>4.12</c:v>
                </c:pt>
                <c:pt idx="15">
                  <c:v>3.2</c:v>
                </c:pt>
                <c:pt idx="16">
                  <c:v>3.48</c:v>
                </c:pt>
              </c:numCache>
            </c:numRef>
          </c:val>
          <c:extLst>
            <c:ext xmlns:c16="http://schemas.microsoft.com/office/drawing/2014/chart" uri="{C3380CC4-5D6E-409C-BE32-E72D297353CC}">
              <c16:uniqueId val="{00000001-9B34-49AD-87D2-8ED682DA5C98}"/>
            </c:ext>
          </c:extLst>
        </c:ser>
        <c:dLbls>
          <c:showLegendKey val="0"/>
          <c:showVal val="0"/>
          <c:showCatName val="0"/>
          <c:showSerName val="0"/>
          <c:showPercent val="0"/>
          <c:showBubbleSize val="0"/>
        </c:dLbls>
        <c:gapWidth val="150"/>
        <c:overlap val="100"/>
        <c:axId val="1271311887"/>
        <c:axId val="1271312367"/>
        <c:extLst>
          <c:ext xmlns:c15="http://schemas.microsoft.com/office/drawing/2012/chart" uri="{02D57815-91ED-43cb-92C2-25804820EDAC}">
            <c15:filteredBarSeries>
              <c15:ser>
                <c:idx val="1"/>
                <c:order val="2"/>
                <c:spPr>
                  <a:solidFill>
                    <a:schemeClr val="accent2"/>
                  </a:solidFill>
                  <a:ln>
                    <a:noFill/>
                  </a:ln>
                  <a:effectLst/>
                </c:spPr>
                <c:invertIfNegative val="0"/>
                <c:cat>
                  <c:numRef>
                    <c:extLst>
                      <c:ext uri="{02D57815-91ED-43cb-92C2-25804820EDAC}">
                        <c15:formulaRef>
                          <c15:sqref>'Net Cost'!$A$6:$A$22</c15:sqref>
                        </c15:formulaRef>
                      </c:ext>
                    </c:extLst>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extLst>
                      <c:ext uri="{02D57815-91ED-43cb-92C2-25804820EDAC}">
                        <c15:formulaRef>
                          <c15:sqref>'Net Cost'!$B$6:$B$18</c15:sqref>
                        </c15:formulaRef>
                      </c:ext>
                    </c:extLst>
                    <c:numCache>
                      <c:formatCode>_(* #,##0.0_);_(* \(#,##0.0\);_(* "-"??_);_(@_)</c:formatCode>
                      <c:ptCount val="13"/>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numCache>
                  </c:numRef>
                </c:val>
                <c:extLst>
                  <c:ext xmlns:c16="http://schemas.microsoft.com/office/drawing/2014/chart" uri="{C3380CC4-5D6E-409C-BE32-E72D297353CC}">
                    <c16:uniqueId val="{00000002-9B34-49AD-87D2-8ED682DA5C98}"/>
                  </c:ext>
                </c:extLst>
              </c15:ser>
            </c15:filteredBarSeries>
          </c:ext>
        </c:extLst>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$B</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_(* #,##0.0_);_(* \(#,##0.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NPV of 20-Yr Annual Net Costs ($B)</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'Net Cost'!$B$5</c:f>
              <c:strCache>
                <c:ptCount val="1"/>
                <c:pt idx="0">
                  <c:v>UPLAN - Normal Conditions</c:v>
                </c:pt>
              </c:strCache>
            </c:strRef>
          </c:tx>
          <c:spPr>
            <a:solidFill>
              <a:schemeClr val="accent2"/>
            </a:solidFill>
            <a:ln>
              <a:noFill/>
            </a:ln>
            <a:effectLst/>
          </c:spPr>
          <c:invertIfNegative val="0"/>
          <c:cat>
            <c:numRef>
              <c:f>'Net Cost'!$A$6:$A$22</c:f>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'Net Cost'!$B$6:$B$22</c:f>
              <c:numCache>
                <c:formatCode>_(* #,##0.0_);_(* \(#,##0.0\);_(* "-"??_);_(@_)</c:formatCode>
                <c:ptCount val="17"/>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pt idx="13" formatCode="0.0">
                  <c:v>9.1482297936070847</c:v>
                </c:pt>
                <c:pt idx="14" formatCode="0.0">
                  <c:v>10.925653777682868</c:v>
                </c:pt>
                <c:pt idx="15" formatCode="0.0">
                  <c:v>10.846411811098964</c:v>
                </c:pt>
                <c:pt idx="16" formatCode="0.0">
                  <c:v>10.604367254095976</c:v>
                </c:pt>
              </c:numCache>
            </c:numRef>
          </c:val>
          <c:extLst xmlns:c15="http://schemas.microsoft.com/office/drawing/2012/chart">
            <c:ext xmlns:c16="http://schemas.microsoft.com/office/drawing/2014/chart" uri="{C3380CC4-5D6E-409C-BE32-E72D297353CC}">
              <c16:uniqueId val="{00000000-CA94-46A5-BE3B-88EA317F9EF3}"/>
            </c:ext>
          </c:extLst>
        </c:ser>
        <c:ser>
          <c:idx val="2"/>
          <c:order val="1"/>
          <c:tx>
            <c:strRef>
              <c:f>'Net Cost'!$D$5</c:f>
              <c:strCache>
                <c:ptCount val="1"/>
                <c:pt idx="0">
                  <c:v>High Congestion Scenario</c:v>
                </c:pt>
              </c:strCache>
            </c:strRef>
          </c:tx>
          <c:spPr>
            <a:solidFill>
              <a:schemeClr val="accent4"/>
            </a:solidFill>
            <a:ln>
              <a:noFill/>
            </a:ln>
            <a:effectLst/>
          </c:spPr>
          <c:invertIfNegative val="0"/>
          <c:cat>
            <c:numRef>
              <c:f>'Net Cost'!$A$6:$A$22</c:f>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'Net Cost'!$J$6:$J$22</c:f>
              <c:numCache>
                <c:formatCode>_(* #,##0.00_);_(* \(#,##0.00\);_(* "-"??_);_(@_)</c:formatCode>
                <c:ptCount val="17"/>
                <c:pt idx="0">
                  <c:v>1.7795476474068015</c:v>
                </c:pt>
                <c:pt idx="1">
                  <c:v>3.9556269006801572</c:v>
                </c:pt>
                <c:pt idx="2">
                  <c:v>0.50218139352315516</c:v>
                </c:pt>
                <c:pt idx="3">
                  <c:v>0.38400000000000001</c:v>
                </c:pt>
                <c:pt idx="4">
                  <c:v>3.8752438830986558</c:v>
                </c:pt>
                <c:pt idx="5">
                  <c:v>4.3017982663324412</c:v>
                </c:pt>
                <c:pt idx="6">
                  <c:v>4.1973952394862604</c:v>
                </c:pt>
                <c:pt idx="7">
                  <c:v>2.3736010651321182</c:v>
                </c:pt>
                <c:pt idx="8">
                  <c:v>2.9511902401205385</c:v>
                </c:pt>
                <c:pt idx="9">
                  <c:v>4.1272340822466242</c:v>
                </c:pt>
                <c:pt idx="10">
                  <c:v>1.5777331022630978</c:v>
                </c:pt>
                <c:pt idx="11">
                  <c:v>3.6019426960285306</c:v>
                </c:pt>
                <c:pt idx="12">
                  <c:v>4.4963624201360028</c:v>
                </c:pt>
                <c:pt idx="13">
                  <c:v>3.4060593027219728</c:v>
                </c:pt>
                <c:pt idx="14">
                  <c:v>2.542678534484637</c:v>
                </c:pt>
                <c:pt idx="15">
                  <c:v>2.3593329120982318</c:v>
                </c:pt>
                <c:pt idx="16">
                  <c:v>3.0991923479011207</c:v>
                </c:pt>
              </c:numCache>
            </c:numRef>
          </c:val>
          <c:extLst>
            <c:ext xmlns:c16="http://schemas.microsoft.com/office/drawing/2014/chart" uri="{C3380CC4-5D6E-409C-BE32-E72D297353CC}">
              <c16:uniqueId val="{00000001-CA94-46A5-BE3B-88EA317F9EF3}"/>
            </c:ext>
          </c:extLst>
        </c:ser>
        <c:dLbls>
          <c:showLegendKey val="0"/>
          <c:showVal val="0"/>
          <c:showCatName val="0"/>
          <c:showSerName val="0"/>
          <c:showPercent val="0"/>
          <c:showBubbleSize val="0"/>
        </c:dLbls>
        <c:gapWidth val="150"/>
        <c:overlap val="100"/>
        <c:axId val="1271311887"/>
        <c:axId val="1271312367"/>
        <c:extLst>
          <c:ext xmlns:c15="http://schemas.microsoft.com/office/drawing/2012/chart" uri="{02D57815-91ED-43cb-92C2-25804820EDAC}">
            <c15:filteredBarSeries>
              <c15:ser>
                <c:idx val="1"/>
                <c:order val="2"/>
                <c:spPr>
                  <a:solidFill>
                    <a:schemeClr val="accent2"/>
                  </a:solidFill>
                  <a:ln>
                    <a:noFill/>
                  </a:ln>
                  <a:effectLst/>
                </c:spPr>
                <c:invertIfNegative val="0"/>
                <c:cat>
                  <c:numRef>
                    <c:extLst>
                      <c:ext uri="{02D57815-91ED-43cb-92C2-25804820EDAC}">
                        <c15:formulaRef>
                          <c15:sqref>'Net Cost'!$A$6:$A$22</c15:sqref>
                        </c15:formulaRef>
                      </c:ext>
                    </c:extLst>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extLst>
                      <c:ext uri="{02D57815-91ED-43cb-92C2-25804820EDAC}">
                        <c15:formulaRef>
                          <c15:sqref>'Net Cost'!$B$6:$B$18</c15:sqref>
                        </c15:formulaRef>
                      </c:ext>
                    </c:extLst>
                    <c:numCache>
                      <c:formatCode>_(* #,##0.0_);_(* \(#,##0.0\);_(* "-"??_);_(@_)</c:formatCode>
                      <c:ptCount val="13"/>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numCache>
                  </c:numRef>
                </c:val>
                <c:extLst>
                  <c:ext xmlns:c16="http://schemas.microsoft.com/office/drawing/2014/chart" uri="{C3380CC4-5D6E-409C-BE32-E72D297353CC}">
                    <c16:uniqueId val="{00000002-CA94-46A5-BE3B-88EA317F9EF3}"/>
                  </c:ext>
                </c:extLst>
              </c15:ser>
            </c15:filteredBarSeries>
          </c:ext>
        </c:extLst>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$B</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_(* #,##0.0_);_(* \(#,##0.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NPV of 20-Yr Annual Net Costs ($B)</a:t>
            </a:r>
          </a:p>
        </c:rich>
      </c:tx>
      <c:layout>
        <c:manualLayout>
          <c:xMode val="edge"/>
          <c:yMode val="edge"/>
          <c:x val="0.30282899252977985"/>
          <c:y val="2.265372168284789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'Net Cost'!$B$5</c:f>
              <c:strCache>
                <c:ptCount val="1"/>
                <c:pt idx="0">
                  <c:v>UPLAN - Normal Conditions</c:v>
                </c:pt>
              </c:strCache>
            </c:strRef>
          </c:tx>
          <c:spPr>
            <a:solidFill>
              <a:schemeClr val="accent2"/>
            </a:solidFill>
            <a:ln>
              <a:noFill/>
            </a:ln>
            <a:effectLst/>
          </c:spPr>
          <c:invertIfNegative val="0"/>
          <c:cat>
            <c:numRef>
              <c:f>'Net Cost'!$A$6:$A$22</c:f>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'Net Cost'!$B$6:$B$22</c:f>
              <c:numCache>
                <c:formatCode>_(* #,##0.0_);_(* \(#,##0.0\);_(* "-"??_);_(@_)</c:formatCode>
                <c:ptCount val="17"/>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pt idx="13" formatCode="0.0">
                  <c:v>9.1482297936070847</c:v>
                </c:pt>
                <c:pt idx="14" formatCode="0.0">
                  <c:v>10.925653777682868</c:v>
                </c:pt>
                <c:pt idx="15" formatCode="0.0">
                  <c:v>10.846411811098964</c:v>
                </c:pt>
                <c:pt idx="16" formatCode="0.0">
                  <c:v>10.604367254095976</c:v>
                </c:pt>
              </c:numCache>
            </c:numRef>
          </c:val>
          <c:extLst xmlns:c15="http://schemas.microsoft.com/office/drawing/2012/chart">
            <c:ext xmlns:c16="http://schemas.microsoft.com/office/drawing/2014/chart" uri="{C3380CC4-5D6E-409C-BE32-E72D297353CC}">
              <c16:uniqueId val="{00000000-02E4-4399-BEDF-5CA8311657FD}"/>
            </c:ext>
          </c:extLst>
        </c:ser>
        <c:ser>
          <c:idx val="2"/>
          <c:order val="1"/>
          <c:tx>
            <c:strRef>
              <c:f>'Net Cost'!$E$5</c:f>
              <c:strCache>
                <c:ptCount val="1"/>
                <c:pt idx="0">
                  <c:v>High Load Growth Scenario</c:v>
                </c:pt>
              </c:strCache>
            </c:strRef>
          </c:tx>
          <c:spPr>
            <a:solidFill>
              <a:schemeClr val="accent6"/>
            </a:solidFill>
            <a:ln>
              <a:noFill/>
            </a:ln>
            <a:effectLst/>
          </c:spPr>
          <c:invertIfNegative val="0"/>
          <c:cat>
            <c:numRef>
              <c:f>'Net Cost'!$A$6:$A$22</c:f>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'Net Cost'!$K$6:$K$22</c:f>
              <c:numCache>
                <c:formatCode>_(* #,##0.00_);_(* \(#,##0.00\);_(* "-"??_);_(@_)</c:formatCode>
                <c:ptCount val="17"/>
                <c:pt idx="13">
                  <c:v>3.1095280355726831</c:v>
                </c:pt>
                <c:pt idx="14">
                  <c:v>3.3105617245070351</c:v>
                </c:pt>
                <c:pt idx="15">
                  <c:v>2.7979558778589357</c:v>
                </c:pt>
                <c:pt idx="16">
                  <c:v>3.0291317980067318</c:v>
                </c:pt>
              </c:numCache>
            </c:numRef>
          </c:val>
          <c:extLst>
            <c:ext xmlns:c16="http://schemas.microsoft.com/office/drawing/2014/chart" uri="{C3380CC4-5D6E-409C-BE32-E72D297353CC}">
              <c16:uniqueId val="{00000001-02E4-4399-BEDF-5CA8311657FD}"/>
            </c:ext>
          </c:extLst>
        </c:ser>
        <c:dLbls>
          <c:showLegendKey val="0"/>
          <c:showVal val="0"/>
          <c:showCatName val="0"/>
          <c:showSerName val="0"/>
          <c:showPercent val="0"/>
          <c:showBubbleSize val="0"/>
        </c:dLbls>
        <c:gapWidth val="150"/>
        <c:overlap val="100"/>
        <c:axId val="1271311887"/>
        <c:axId val="1271312367"/>
        <c:extLst>
          <c:ext xmlns:c15="http://schemas.microsoft.com/office/drawing/2012/chart" uri="{02D57815-91ED-43cb-92C2-25804820EDAC}">
            <c15:filteredBarSeries>
              <c15:ser>
                <c:idx val="1"/>
                <c:order val="2"/>
                <c:spPr>
                  <a:solidFill>
                    <a:schemeClr val="accent2"/>
                  </a:solidFill>
                  <a:ln>
                    <a:noFill/>
                  </a:ln>
                  <a:effectLst/>
                </c:spPr>
                <c:invertIfNegative val="0"/>
                <c:cat>
                  <c:numRef>
                    <c:extLst>
                      <c:ext uri="{02D57815-91ED-43cb-92C2-25804820EDAC}">
                        <c15:formulaRef>
                          <c15:sqref>'Net Cost'!$A$6:$A$22</c15:sqref>
                        </c15:formulaRef>
                      </c:ext>
                    </c:extLst>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extLst>
                      <c:ext uri="{02D57815-91ED-43cb-92C2-25804820EDAC}">
                        <c15:formulaRef>
                          <c15:sqref>'Net Cost'!$B$6:$B$18</c15:sqref>
                        </c15:formulaRef>
                      </c:ext>
                    </c:extLst>
                    <c:numCache>
                      <c:formatCode>_(* #,##0.0_);_(* \(#,##0.0\);_(* "-"??_);_(@_)</c:formatCode>
                      <c:ptCount val="13"/>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numCache>
                  </c:numRef>
                </c:val>
                <c:extLst>
                  <c:ext xmlns:c16="http://schemas.microsoft.com/office/drawing/2014/chart" uri="{C3380CC4-5D6E-409C-BE32-E72D297353CC}">
                    <c16:uniqueId val="{00000002-02E4-4399-BEDF-5CA8311657FD}"/>
                  </c:ext>
                </c:extLst>
              </c15:ser>
            </c15:filteredBarSeries>
          </c:ext>
        </c:extLst>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$B</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_(* #,##0.0_);_(* \(#,##0.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20-Yr NPV of Levelized Net Costs</a:t>
            </a:r>
            <a:r>
              <a:rPr lang="en-US" baseline="0"/>
              <a:t> - Scenarios Avg</a:t>
            </a:r>
            <a:r>
              <a:rPr lang="en-US"/>
              <a:t> ($B)</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5"/>
          <c:order val="0"/>
          <c:tx>
            <c:strRef>
              <c:f>'Net Cost'!$G$5</c:f>
              <c:strCache>
                <c:ptCount val="1"/>
                <c:pt idx="0">
                  <c:v>Average Cost</c:v>
                </c:pt>
              </c:strCache>
            </c:strRef>
          </c:tx>
          <c:spPr>
            <a:solidFill>
              <a:schemeClr val="accent5"/>
            </a:solidFill>
            <a:ln w="25400">
              <a:noFill/>
            </a:ln>
            <a:effectLst/>
          </c:spPr>
          <c:invertIfNegative val="0"/>
          <c:cat>
            <c:numRef>
              <c:f>'Net Cost'!$A$19:$A$22</c:f>
              <c:numCache>
                <c:formatCode>General</c:formatCode>
                <c:ptCount val="4"/>
                <c:pt idx="0">
                  <c:v>14</c:v>
                </c:pt>
                <c:pt idx="1">
                  <c:v>15</c:v>
                </c:pt>
                <c:pt idx="2">
                  <c:v>16</c:v>
                </c:pt>
                <c:pt idx="3">
                  <c:v>17</c:v>
                </c:pt>
              </c:numCache>
            </c:numRef>
          </c:cat>
          <c:val>
            <c:numRef>
              <c:f>'Net Cost'!$G$19:$G$22</c:f>
              <c:numCache>
                <c:formatCode>_(* #,##0.0_);_(* \(#,##0.0\);_(* "-"??_);_(@_)</c:formatCode>
                <c:ptCount val="4"/>
                <c:pt idx="0" formatCode="0.0">
                  <c:v>11.258261634218993</c:v>
                </c:pt>
                <c:pt idx="1">
                  <c:v>13.026400979006771</c:v>
                </c:pt>
                <c:pt idx="2">
                  <c:v>12.645152022778149</c:v>
                </c:pt>
                <c:pt idx="3">
                  <c:v>12.644844869854968</c:v>
                </c:pt>
              </c:numCache>
            </c:numRef>
          </c:val>
          <c:extLst>
            <c:ext xmlns:c16="http://schemas.microsoft.com/office/drawing/2014/chart" uri="{C3380CC4-5D6E-409C-BE32-E72D297353CC}">
              <c16:uniqueId val="{00000000-0DFA-487F-AA49-254E4ACC58E1}"/>
            </c:ext>
          </c:extLst>
        </c:ser>
        <c:dLbls>
          <c:showLegendKey val="0"/>
          <c:showVal val="0"/>
          <c:showCatName val="0"/>
          <c:showSerName val="0"/>
          <c:showPercent val="0"/>
          <c:showBubbleSize val="0"/>
        </c:dLbls>
        <c:gapWidth val="150"/>
        <c:axId val="1271311887"/>
        <c:axId val="1271312367"/>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$B</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NPV of 20-Yr Annual Net Costs ($B)</a:t>
            </a:r>
          </a:p>
        </c:rich>
      </c:tx>
      <c:layout>
        <c:manualLayout>
          <c:xMode val="edge"/>
          <c:yMode val="edge"/>
          <c:x val="0.30282899252977985"/>
          <c:y val="2.265372168284789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'Net Cost'!$B$5</c:f>
              <c:strCache>
                <c:ptCount val="1"/>
                <c:pt idx="0">
                  <c:v>UPLAN - Normal Conditions</c:v>
                </c:pt>
              </c:strCache>
            </c:strRef>
          </c:tx>
          <c:spPr>
            <a:solidFill>
              <a:schemeClr val="accent2"/>
            </a:solidFill>
            <a:ln>
              <a:noFill/>
            </a:ln>
            <a:effectLst/>
          </c:spPr>
          <c:invertIfNegative val="0"/>
          <c:cat>
            <c:numRef>
              <c:f>'Net Cost'!$A$6:$A$22</c:f>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'Net Cost'!$B$6:$B$22</c:f>
              <c:numCache>
                <c:formatCode>_(* #,##0.0_);_(* \(#,##0.0\);_(* "-"??_);_(@_)</c:formatCode>
                <c:ptCount val="17"/>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pt idx="13" formatCode="0.0">
                  <c:v>9.1482297936070847</c:v>
                </c:pt>
                <c:pt idx="14" formatCode="0.0">
                  <c:v>10.925653777682868</c:v>
                </c:pt>
                <c:pt idx="15" formatCode="0.0">
                  <c:v>10.846411811098964</c:v>
                </c:pt>
                <c:pt idx="16" formatCode="0.0">
                  <c:v>10.604367254095976</c:v>
                </c:pt>
              </c:numCache>
            </c:numRef>
          </c:val>
          <c:extLst xmlns:c15="http://schemas.microsoft.com/office/drawing/2012/chart">
            <c:ext xmlns:c16="http://schemas.microsoft.com/office/drawing/2014/chart" uri="{C3380CC4-5D6E-409C-BE32-E72D297353CC}">
              <c16:uniqueId val="{00000000-799B-4DCD-9D9D-FC21078F2217}"/>
            </c:ext>
          </c:extLst>
        </c:ser>
        <c:ser>
          <c:idx val="2"/>
          <c:order val="1"/>
          <c:tx>
            <c:strRef>
              <c:f>'Net Cost'!$F$5</c:f>
              <c:strCache>
                <c:ptCount val="1"/>
                <c:pt idx="0">
                  <c:v>High Fuel Cost Growth Scenario</c:v>
                </c:pt>
              </c:strCache>
            </c:strRef>
          </c:tx>
          <c:spPr>
            <a:solidFill>
              <a:schemeClr val="accent3"/>
            </a:solidFill>
            <a:ln>
              <a:noFill/>
            </a:ln>
            <a:effectLst/>
          </c:spPr>
          <c:invertIfNegative val="0"/>
          <c:cat>
            <c:numRef>
              <c:f>'Net Cost'!$A$6:$A$22</c:f>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'Net Cost'!$L$6:$L$22</c:f>
              <c:numCache>
                <c:formatCode>_(* #,##0.00_);_(* \(#,##0.00\);_(* "-"??_);_(@_)</c:formatCode>
                <c:ptCount val="17"/>
                <c:pt idx="13">
                  <c:v>0.72044995615256435</c:v>
                </c:pt>
                <c:pt idx="14">
                  <c:v>0.52989516502107481</c:v>
                </c:pt>
                <c:pt idx="15">
                  <c:v>0.63881008683122853</c:v>
                </c:pt>
                <c:pt idx="16">
                  <c:v>0.59717952590059498</c:v>
                </c:pt>
              </c:numCache>
            </c:numRef>
          </c:val>
          <c:extLst>
            <c:ext xmlns:c16="http://schemas.microsoft.com/office/drawing/2014/chart" uri="{C3380CC4-5D6E-409C-BE32-E72D297353CC}">
              <c16:uniqueId val="{00000001-799B-4DCD-9D9D-FC21078F2217}"/>
            </c:ext>
          </c:extLst>
        </c:ser>
        <c:dLbls>
          <c:showLegendKey val="0"/>
          <c:showVal val="0"/>
          <c:showCatName val="0"/>
          <c:showSerName val="0"/>
          <c:showPercent val="0"/>
          <c:showBubbleSize val="0"/>
        </c:dLbls>
        <c:gapWidth val="150"/>
        <c:overlap val="100"/>
        <c:axId val="1271311887"/>
        <c:axId val="1271312367"/>
        <c:extLst>
          <c:ext xmlns:c15="http://schemas.microsoft.com/office/drawing/2012/chart" uri="{02D57815-91ED-43cb-92C2-25804820EDAC}">
            <c15:filteredBarSeries>
              <c15:ser>
                <c:idx val="1"/>
                <c:order val="2"/>
                <c:spPr>
                  <a:solidFill>
                    <a:schemeClr val="accent2"/>
                  </a:solidFill>
                  <a:ln>
                    <a:noFill/>
                  </a:ln>
                  <a:effectLst/>
                </c:spPr>
                <c:invertIfNegative val="0"/>
                <c:cat>
                  <c:numRef>
                    <c:extLst>
                      <c:ext uri="{02D57815-91ED-43cb-92C2-25804820EDAC}">
                        <c15:formulaRef>
                          <c15:sqref>'Net Cost'!$A$6:$A$22</c15:sqref>
                        </c15:formulaRef>
                      </c:ext>
                    </c:extLst>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extLst>
                      <c:ext uri="{02D57815-91ED-43cb-92C2-25804820EDAC}">
                        <c15:formulaRef>
                          <c15:sqref>'Net Cost'!$B$6:$B$18</c15:sqref>
                        </c15:formulaRef>
                      </c:ext>
                    </c:extLst>
                    <c:numCache>
                      <c:formatCode>_(* #,##0.0_);_(* \(#,##0.0\);_(* "-"??_);_(@_)</c:formatCode>
                      <c:ptCount val="13"/>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numCache>
                  </c:numRef>
                </c:val>
                <c:extLst>
                  <c:ext xmlns:c16="http://schemas.microsoft.com/office/drawing/2014/chart" uri="{C3380CC4-5D6E-409C-BE32-E72D297353CC}">
                    <c16:uniqueId val="{00000002-799B-4DCD-9D9D-FC21078F2217}"/>
                  </c:ext>
                </c:extLst>
              </c15:ser>
            </c15:filteredBarSeries>
          </c:ext>
        </c:extLst>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$B</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_(* #,##0.0_);_(* \(#,##0.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'Net Cost'!$B$5</c:f>
              <c:strCache>
                <c:ptCount val="1"/>
                <c:pt idx="0">
                  <c:v>UPLAN - Normal Conditions</c:v>
                </c:pt>
              </c:strCache>
            </c:strRef>
          </c:tx>
          <c:spPr>
            <a:solidFill>
              <a:schemeClr val="accent2"/>
            </a:solidFill>
            <a:ln>
              <a:noFill/>
            </a:ln>
            <a:effectLst/>
          </c:spPr>
          <c:invertIfNegative val="0"/>
          <c:cat>
            <c:numRef>
              <c:f>'Net Cost'!$A$19:$A$22</c:f>
              <c:numCache>
                <c:formatCode>General</c:formatCode>
                <c:ptCount val="4"/>
                <c:pt idx="0">
                  <c:v>14</c:v>
                </c:pt>
                <c:pt idx="1">
                  <c:v>15</c:v>
                </c:pt>
                <c:pt idx="2">
                  <c:v>16</c:v>
                </c:pt>
                <c:pt idx="3">
                  <c:v>17</c:v>
                </c:pt>
              </c:numCache>
            </c:numRef>
          </c:cat>
          <c:val>
            <c:numRef>
              <c:f>'Net Cost'!$B$19:$B$22</c:f>
              <c:numCache>
                <c:formatCode>0.0</c:formatCode>
                <c:ptCount val="4"/>
                <c:pt idx="0">
                  <c:v>9.1482297936070847</c:v>
                </c:pt>
                <c:pt idx="1">
                  <c:v>10.925653777682868</c:v>
                </c:pt>
                <c:pt idx="2">
                  <c:v>10.846411811098964</c:v>
                </c:pt>
                <c:pt idx="3">
                  <c:v>10.604367254095976</c:v>
                </c:pt>
              </c:numCache>
            </c:numRef>
          </c:val>
          <c:extLst xmlns:c15="http://schemas.microsoft.com/office/drawing/2012/chart">
            <c:ext xmlns:c16="http://schemas.microsoft.com/office/drawing/2014/chart" uri="{C3380CC4-5D6E-409C-BE32-E72D297353CC}">
              <c16:uniqueId val="{00000000-4F8C-4E45-82E3-BFB69807AA3D}"/>
            </c:ext>
          </c:extLst>
        </c:ser>
        <c:ser>
          <c:idx val="2"/>
          <c:order val="2"/>
          <c:tx>
            <c:strRef>
              <c:f>'Net Cost'!$P$18</c:f>
              <c:strCache>
                <c:ptCount val="1"/>
                <c:pt idx="0">
                  <c:v>Ascend - Mean</c:v>
                </c:pt>
              </c:strCache>
            </c:strRef>
          </c:tx>
          <c:spPr>
            <a:solidFill>
              <a:schemeClr val="accent3"/>
            </a:solidFill>
            <a:ln>
              <a:noFill/>
            </a:ln>
            <a:effectLst/>
          </c:spPr>
          <c:invertIfNegative val="0"/>
          <c:val>
            <c:numRef>
              <c:f>'Net Cost'!$P$19:$P$22</c:f>
              <c:numCache>
                <c:formatCode>0.0</c:formatCode>
                <c:ptCount val="4"/>
                <c:pt idx="0">
                  <c:v>6.7307045609069283</c:v>
                </c:pt>
                <c:pt idx="1">
                  <c:v>8.5235127976301577</c:v>
                </c:pt>
                <c:pt idx="2">
                  <c:v>8.3250199008500942</c:v>
                </c:pt>
                <c:pt idx="3">
                  <c:v>8.0274790640649751</c:v>
                </c:pt>
              </c:numCache>
            </c:numRef>
          </c:val>
          <c:extLst>
            <c:ext xmlns:c16="http://schemas.microsoft.com/office/drawing/2014/chart" uri="{C3380CC4-5D6E-409C-BE32-E72D297353CC}">
              <c16:uniqueId val="{00000001-4F8C-4E45-82E3-BFB69807AA3D}"/>
            </c:ext>
          </c:extLst>
        </c:ser>
        <c:dLbls>
          <c:showLegendKey val="0"/>
          <c:showVal val="0"/>
          <c:showCatName val="0"/>
          <c:showSerName val="0"/>
          <c:showPercent val="0"/>
          <c:showBubbleSize val="0"/>
        </c:dLbls>
        <c:gapWidth val="150"/>
        <c:axId val="1271311887"/>
        <c:axId val="1271312367"/>
        <c:extLst>
          <c:ext xmlns:c15="http://schemas.microsoft.com/office/drawing/2012/chart" uri="{02D57815-91ED-43cb-92C2-25804820EDAC}">
            <c15:filteredBarSeries>
              <c15:ser>
                <c:idx val="1"/>
                <c:order val="1"/>
                <c:spPr>
                  <a:solidFill>
                    <a:schemeClr val="accent2"/>
                  </a:solidFill>
                  <a:ln w="25400">
                    <a:noFill/>
                  </a:ln>
                  <a:effectLst/>
                </c:spPr>
                <c:invertIfNegative val="0"/>
                <c:cat>
                  <c:numRef>
                    <c:extLst>
                      <c:ext uri="{02D57815-91ED-43cb-92C2-25804820EDAC}">
                        <c15:formulaRef>
                          <c15:sqref>'Net Cost'!$A$19:$A$22</c15:sqref>
                        </c15:formulaRef>
                      </c:ext>
                    </c:extLst>
                    <c:numCache>
                      <c:formatCode>General</c:formatCode>
                      <c:ptCount val="4"/>
                      <c:pt idx="0">
                        <c:v>14</c:v>
                      </c:pt>
                      <c:pt idx="1">
                        <c:v>15</c:v>
                      </c:pt>
                      <c:pt idx="2">
                        <c:v>16</c:v>
                      </c:pt>
                      <c:pt idx="3">
                        <c:v>17</c:v>
                      </c:pt>
                    </c:numCache>
                  </c:numRef>
                </c:cat>
                <c:val>
                  <c:numRef>
                    <c:extLst>
                      <c:ext uri="{02D57815-91ED-43cb-92C2-25804820EDAC}">
                        <c15:formulaRef>
                          <c15:sqref>'Net Cost'!$B$6:$B$18</c15:sqref>
                        </c15:formulaRef>
                      </c:ext>
                    </c:extLst>
                    <c:numCache>
                      <c:formatCode>_(* #,##0.0_);_(* \(#,##0.0\);_(* "-"??_);_(@_)</c:formatCode>
                      <c:ptCount val="13"/>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numCache>
                  </c:numRef>
                </c:val>
                <c:extLst>
                  <c:ext xmlns:c16="http://schemas.microsoft.com/office/drawing/2014/chart" uri="{C3380CC4-5D6E-409C-BE32-E72D297353CC}">
                    <c16:uniqueId val="{00000002-4F8C-4E45-82E3-BFB69807AA3D}"/>
                  </c:ext>
                </c:extLst>
              </c15:ser>
            </c15:filteredBarSeries>
            <c15:filteredBarSeries>
              <c15:ser>
                <c:idx val="3"/>
                <c:order val="3"/>
                <c:tx>
                  <c:strRef>
                    <c:extLst xmlns:c15="http://schemas.microsoft.com/office/drawing/2012/chart">
                      <c:ext xmlns:c15="http://schemas.microsoft.com/office/drawing/2012/chart" uri="{02D57815-91ED-43cb-92C2-25804820EDAC}">
                        <c15:formulaRef>
                          <c15:sqref>'Net Cost'!$O$18</c15:sqref>
                        </c15:formulaRef>
                      </c:ext>
                    </c:extLst>
                    <c:strCache>
                      <c:ptCount val="1"/>
                      <c:pt idx="0">
                        <c:v>Ascend - P5</c:v>
                      </c:pt>
                    </c:strCache>
                  </c:strRef>
                </c:tx>
                <c:spPr>
                  <a:solidFill>
                    <a:schemeClr val="accent4"/>
                  </a:solidFill>
                  <a:ln>
                    <a:noFill/>
                  </a:ln>
                  <a:effectLst/>
                </c:spPr>
                <c:invertIfNegative val="0"/>
                <c:val>
                  <c:numRef>
                    <c:extLst xmlns:c15="http://schemas.microsoft.com/office/drawing/2012/chart">
                      <c:ext xmlns:c15="http://schemas.microsoft.com/office/drawing/2012/chart" uri="{02D57815-91ED-43cb-92C2-25804820EDAC}">
                        <c15:formulaRef>
                          <c15:sqref>'Net Cost'!$O$19:$O$22</c15:sqref>
                        </c15:formulaRef>
                      </c:ext>
                    </c:extLst>
                    <c:numCache>
                      <c:formatCode>0.0</c:formatCode>
                      <c:ptCount val="4"/>
                      <c:pt idx="0">
                        <c:v>5.8293185508612604</c:v>
                      </c:pt>
                      <c:pt idx="1">
                        <c:v>7.7247057424811203</c:v>
                      </c:pt>
                      <c:pt idx="2">
                        <c:v>7.5206018202170499</c:v>
                      </c:pt>
                      <c:pt idx="3">
                        <c:v>7.2203432853921203</c:v>
                      </c:pt>
                    </c:numCache>
                  </c:numRef>
                </c:val>
                <c:extLst xmlns:c15="http://schemas.microsoft.com/office/drawing/2012/chart">
                  <c:ext xmlns:c16="http://schemas.microsoft.com/office/drawing/2014/chart" uri="{C3380CC4-5D6E-409C-BE32-E72D297353CC}">
                    <c16:uniqueId val="{00000003-4F8C-4E45-82E3-BFB69807AA3D}"/>
                  </c:ext>
                </c:extLst>
              </c15:ser>
            </c15:filteredBarSeries>
            <c15:filteredBarSeries>
              <c15:ser>
                <c:idx val="4"/>
                <c:order val="4"/>
                <c:tx>
                  <c:strRef>
                    <c:extLst xmlns:c15="http://schemas.microsoft.com/office/drawing/2012/chart">
                      <c:ext xmlns:c15="http://schemas.microsoft.com/office/drawing/2012/chart" uri="{02D57815-91ED-43cb-92C2-25804820EDAC}">
                        <c15:formulaRef>
                          <c15:sqref>'Net Cost'!$Q$18</c15:sqref>
                        </c15:formulaRef>
                      </c:ext>
                    </c:extLst>
                    <c:strCache>
                      <c:ptCount val="1"/>
                      <c:pt idx="0">
                        <c:v>Ascend - P95</c:v>
                      </c:pt>
                    </c:strCache>
                  </c:strRef>
                </c:tx>
                <c:spPr>
                  <a:solidFill>
                    <a:schemeClr val="accent5"/>
                  </a:solidFill>
                  <a:ln>
                    <a:noFill/>
                  </a:ln>
                  <a:effectLst/>
                </c:spPr>
                <c:invertIfNegative val="0"/>
                <c:val>
                  <c:numRef>
                    <c:extLst xmlns:c15="http://schemas.microsoft.com/office/drawing/2012/chart">
                      <c:ext xmlns:c15="http://schemas.microsoft.com/office/drawing/2012/chart" uri="{02D57815-91ED-43cb-92C2-25804820EDAC}">
                        <c15:formulaRef>
                          <c15:sqref>'Net Cost'!$Q$19:$Q$22</c15:sqref>
                        </c15:formulaRef>
                      </c:ext>
                    </c:extLst>
                    <c:numCache>
                      <c:formatCode>0.0</c:formatCode>
                      <c:ptCount val="4"/>
                      <c:pt idx="0">
                        <c:v>7.99004182636968</c:v>
                      </c:pt>
                      <c:pt idx="1">
                        <c:v>9.5128680423547092</c:v>
                      </c:pt>
                      <c:pt idx="2">
                        <c:v>9.3147715953755608</c:v>
                      </c:pt>
                      <c:pt idx="3">
                        <c:v>8.9989559201565594</c:v>
                      </c:pt>
                    </c:numCache>
                  </c:numRef>
                </c:val>
                <c:extLst xmlns:c15="http://schemas.microsoft.com/office/drawing/2012/chart">
                  <c:ext xmlns:c16="http://schemas.microsoft.com/office/drawing/2014/chart" uri="{C3380CC4-5D6E-409C-BE32-E72D297353CC}">
                    <c16:uniqueId val="{00000004-4F8C-4E45-82E3-BFB69807AA3D}"/>
                  </c:ext>
                </c:extLst>
              </c15:ser>
            </c15:filteredBarSeries>
          </c:ext>
        </c:extLst>
      </c:barChart>
      <c:catAx>
        <c:axId val="1271311887"/>
        <c:scaling>
          <c:orientation val="minMax"/>
        </c:scaling>
        <c:delete val="0"/>
        <c:axPos val="b"/>
        <c:title>
          <c:tx>
            <c:rich>
              <a:bodyPr rot="0" spcFirstLastPara="1" vertOverflow="ellipsis" vert="horz" wrap="square" anchor="ctr" anchorCtr="1"/>
              <a:lstStyle/>
              <a:p>
                <a:pPr>
                  <a:defRPr sz="1600" b="1" i="0" u="none" strike="noStrike" kern="1200" baseline="0">
                    <a:solidFill>
                      <a:schemeClr val="tx1">
                        <a:lumMod val="65000"/>
                        <a:lumOff val="35000"/>
                      </a:schemeClr>
                    </a:solidFill>
                    <a:latin typeface="Aptos" panose="020B0004020202020204" pitchFamily="34" charset="0"/>
                    <a:ea typeface="+mn-ea"/>
                    <a:cs typeface="+mn-cs"/>
                  </a:defRPr>
                </a:pPr>
                <a:r>
                  <a:rPr lang="en-US" sz="1600" b="1">
                    <a:latin typeface="Aptos" panose="020B0004020202020204" pitchFamily="34" charset="0"/>
                  </a:rPr>
                  <a:t>Portfolio #</a:t>
                </a:r>
              </a:p>
            </c:rich>
          </c:tx>
          <c:overlay val="0"/>
          <c:spPr>
            <a:noFill/>
            <a:ln>
              <a:noFill/>
            </a:ln>
            <a:effectLst/>
          </c:spPr>
          <c:txPr>
            <a:bodyPr rot="0" spcFirstLastPara="1" vertOverflow="ellipsis" vert="horz" wrap="square" anchor="ctr" anchorCtr="1"/>
            <a:lstStyle/>
            <a:p>
              <a:pPr>
                <a:defRPr sz="1600" b="1" i="0" u="none" strike="noStrike" kern="1200" baseline="0">
                  <a:solidFill>
                    <a:schemeClr val="tx1">
                      <a:lumMod val="65000"/>
                      <a:lumOff val="35000"/>
                    </a:schemeClr>
                  </a:solidFill>
                  <a:latin typeface="Aptos" panose="020B0004020202020204" pitchFamily="34" charset="0"/>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6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600" b="1" i="0" u="none" strike="noStrike" kern="1200" baseline="0">
                    <a:solidFill>
                      <a:schemeClr val="tx1">
                        <a:lumMod val="65000"/>
                        <a:lumOff val="35000"/>
                      </a:schemeClr>
                    </a:solidFill>
                    <a:latin typeface="Aptos" panose="020B0004020202020204" pitchFamily="34" charset="0"/>
                    <a:ea typeface="+mn-ea"/>
                    <a:cs typeface="+mn-cs"/>
                  </a:defRPr>
                </a:pPr>
                <a:r>
                  <a:rPr lang="en-US" sz="1600" b="1">
                    <a:latin typeface="Aptos" panose="020B0004020202020204" pitchFamily="34" charset="0"/>
                  </a:rPr>
                  <a:t>$B</a:t>
                </a:r>
              </a:p>
            </c:rich>
          </c:tx>
          <c:overlay val="0"/>
          <c:spPr>
            <a:noFill/>
            <a:ln>
              <a:noFill/>
            </a:ln>
            <a:effectLst/>
          </c:spPr>
          <c:txPr>
            <a:bodyPr rot="-5400000" spcFirstLastPara="1" vertOverflow="ellipsis" vert="horz" wrap="square" anchor="ctr" anchorCtr="1"/>
            <a:lstStyle/>
            <a:p>
              <a:pPr>
                <a:defRPr sz="1600" b="1" i="0" u="none" strike="noStrike" kern="1200" baseline="0">
                  <a:solidFill>
                    <a:schemeClr val="tx1">
                      <a:lumMod val="65000"/>
                      <a:lumOff val="35000"/>
                    </a:schemeClr>
                  </a:solidFill>
                  <a:latin typeface="Aptos" panose="020B0004020202020204" pitchFamily="34" charset="0"/>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6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crossAx val="127131188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6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NPV of 20-Yr Annual Net Costs ($B)</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'Net Cost'!$B$5</c:f>
              <c:strCache>
                <c:ptCount val="1"/>
                <c:pt idx="0">
                  <c:v>UPLAN - Normal Conditions</c:v>
                </c:pt>
              </c:strCache>
            </c:strRef>
          </c:tx>
          <c:spPr>
            <a:solidFill>
              <a:schemeClr val="accent2"/>
            </a:solidFill>
            <a:ln>
              <a:noFill/>
            </a:ln>
            <a:effectLst/>
          </c:spPr>
          <c:invertIfNegative val="0"/>
          <c:cat>
            <c:numRef>
              <c:f>'Net Cost'!$A$19:$A$22</c:f>
              <c:numCache>
                <c:formatCode>General</c:formatCode>
                <c:ptCount val="4"/>
                <c:pt idx="0">
                  <c:v>14</c:v>
                </c:pt>
                <c:pt idx="1">
                  <c:v>15</c:v>
                </c:pt>
                <c:pt idx="2">
                  <c:v>16</c:v>
                </c:pt>
                <c:pt idx="3">
                  <c:v>17</c:v>
                </c:pt>
              </c:numCache>
            </c:numRef>
          </c:cat>
          <c:val>
            <c:numRef>
              <c:f>'Net Cost'!$B$19:$B$22</c:f>
              <c:numCache>
                <c:formatCode>0.0</c:formatCode>
                <c:ptCount val="4"/>
                <c:pt idx="0">
                  <c:v>9.1482297936070847</c:v>
                </c:pt>
                <c:pt idx="1">
                  <c:v>10.925653777682868</c:v>
                </c:pt>
                <c:pt idx="2">
                  <c:v>10.846411811098964</c:v>
                </c:pt>
                <c:pt idx="3">
                  <c:v>10.604367254095976</c:v>
                </c:pt>
              </c:numCache>
            </c:numRef>
          </c:val>
          <c:extLst xmlns:c15="http://schemas.microsoft.com/office/drawing/2012/chart">
            <c:ext xmlns:c16="http://schemas.microsoft.com/office/drawing/2014/chart" uri="{C3380CC4-5D6E-409C-BE32-E72D297353CC}">
              <c16:uniqueId val="{00000000-D4A9-4BAA-966A-0D10CE6F0C8C}"/>
            </c:ext>
          </c:extLst>
        </c:ser>
        <c:ser>
          <c:idx val="2"/>
          <c:order val="1"/>
          <c:tx>
            <c:strRef>
              <c:f>'Net Cost'!$C$5</c:f>
              <c:strCache>
                <c:ptCount val="1"/>
                <c:pt idx="0">
                  <c:v>Extreme Weather Scenario</c:v>
                </c:pt>
              </c:strCache>
            </c:strRef>
          </c:tx>
          <c:spPr>
            <a:solidFill>
              <a:schemeClr val="accent1"/>
            </a:solidFill>
            <a:ln w="25400">
              <a:noFill/>
            </a:ln>
            <a:effectLst/>
          </c:spPr>
          <c:invertIfNegative val="0"/>
          <c:cat>
            <c:numRef>
              <c:f>'Net Cost'!$A$19:$A$22</c:f>
              <c:numCache>
                <c:formatCode>General</c:formatCode>
                <c:ptCount val="4"/>
                <c:pt idx="0">
                  <c:v>14</c:v>
                </c:pt>
                <c:pt idx="1">
                  <c:v>15</c:v>
                </c:pt>
                <c:pt idx="2">
                  <c:v>16</c:v>
                </c:pt>
                <c:pt idx="3">
                  <c:v>17</c:v>
                </c:pt>
              </c:numCache>
            </c:numRef>
          </c:cat>
          <c:val>
            <c:numRef>
              <c:f>'Net Cost'!$I$19:$I$22</c:f>
              <c:numCache>
                <c:formatCode>_(* #,##0.00_);_(* \(#,##0.00\);_(* "-"??_);_(@_)</c:formatCode>
                <c:ptCount val="4"/>
                <c:pt idx="0">
                  <c:v>3.3141219086123246</c:v>
                </c:pt>
                <c:pt idx="1">
                  <c:v>4.12</c:v>
                </c:pt>
                <c:pt idx="2">
                  <c:v>3.2</c:v>
                </c:pt>
                <c:pt idx="3">
                  <c:v>3.48</c:v>
                </c:pt>
              </c:numCache>
            </c:numRef>
          </c:val>
          <c:extLst>
            <c:ext xmlns:c16="http://schemas.microsoft.com/office/drawing/2014/chart" uri="{C3380CC4-5D6E-409C-BE32-E72D297353CC}">
              <c16:uniqueId val="{00000001-D4A9-4BAA-966A-0D10CE6F0C8C}"/>
            </c:ext>
          </c:extLst>
        </c:ser>
        <c:dLbls>
          <c:showLegendKey val="0"/>
          <c:showVal val="0"/>
          <c:showCatName val="0"/>
          <c:showSerName val="0"/>
          <c:showPercent val="0"/>
          <c:showBubbleSize val="0"/>
        </c:dLbls>
        <c:gapWidth val="150"/>
        <c:overlap val="100"/>
        <c:axId val="1271311887"/>
        <c:axId val="1271312367"/>
        <c:extLst>
          <c:ext xmlns:c15="http://schemas.microsoft.com/office/drawing/2012/chart" uri="{02D57815-91ED-43cb-92C2-25804820EDAC}">
            <c15:filteredBarSeries>
              <c15:ser>
                <c:idx val="1"/>
                <c:order val="2"/>
                <c:spPr>
                  <a:solidFill>
                    <a:schemeClr val="accent2"/>
                  </a:solidFill>
                  <a:ln>
                    <a:noFill/>
                  </a:ln>
                  <a:effectLst/>
                </c:spPr>
                <c:invertIfNegative val="0"/>
                <c:cat>
                  <c:numRef>
                    <c:extLst>
                      <c:ext uri="{02D57815-91ED-43cb-92C2-25804820EDAC}">
                        <c15:formulaRef>
                          <c15:sqref>'Net Cost'!$A$19:$A$22</c15:sqref>
                        </c15:formulaRef>
                      </c:ext>
                    </c:extLst>
                    <c:numCache>
                      <c:formatCode>General</c:formatCode>
                      <c:ptCount val="4"/>
                      <c:pt idx="0">
                        <c:v>14</c:v>
                      </c:pt>
                      <c:pt idx="1">
                        <c:v>15</c:v>
                      </c:pt>
                      <c:pt idx="2">
                        <c:v>16</c:v>
                      </c:pt>
                      <c:pt idx="3">
                        <c:v>17</c:v>
                      </c:pt>
                    </c:numCache>
                  </c:numRef>
                </c:cat>
                <c:val>
                  <c:numRef>
                    <c:extLst>
                      <c:ext uri="{02D57815-91ED-43cb-92C2-25804820EDAC}">
                        <c15:formulaRef>
                          <c15:sqref>'Net Cost'!$B$6:$B$18</c15:sqref>
                        </c15:formulaRef>
                      </c:ext>
                    </c:extLst>
                    <c:numCache>
                      <c:formatCode>_(* #,##0.0_);_(* \(#,##0.0\);_(* "-"??_);_(@_)</c:formatCode>
                      <c:ptCount val="13"/>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numCache>
                  </c:numRef>
                </c:val>
                <c:extLst>
                  <c:ext xmlns:c16="http://schemas.microsoft.com/office/drawing/2014/chart" uri="{C3380CC4-5D6E-409C-BE32-E72D297353CC}">
                    <c16:uniqueId val="{00000002-D4A9-4BAA-966A-0D10CE6F0C8C}"/>
                  </c:ext>
                </c:extLst>
              </c15:ser>
            </c15:filteredBarSeries>
          </c:ext>
        </c:extLst>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$B</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NPV of 20-Yr Annual Net Costs ($B)</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'Net Cost'!$B$5</c:f>
              <c:strCache>
                <c:ptCount val="1"/>
                <c:pt idx="0">
                  <c:v>UPLAN - Normal Conditions</c:v>
                </c:pt>
              </c:strCache>
            </c:strRef>
          </c:tx>
          <c:spPr>
            <a:solidFill>
              <a:schemeClr val="accent2"/>
            </a:solidFill>
            <a:ln>
              <a:noFill/>
            </a:ln>
            <a:effectLst/>
          </c:spPr>
          <c:invertIfNegative val="0"/>
          <c:cat>
            <c:numRef>
              <c:f>'Net Cost'!$A$19:$A$22</c:f>
              <c:numCache>
                <c:formatCode>General</c:formatCode>
                <c:ptCount val="4"/>
                <c:pt idx="0">
                  <c:v>14</c:v>
                </c:pt>
                <c:pt idx="1">
                  <c:v>15</c:v>
                </c:pt>
                <c:pt idx="2">
                  <c:v>16</c:v>
                </c:pt>
                <c:pt idx="3">
                  <c:v>17</c:v>
                </c:pt>
              </c:numCache>
            </c:numRef>
          </c:cat>
          <c:val>
            <c:numRef>
              <c:f>'Net Cost'!$B$19:$B$22</c:f>
              <c:numCache>
                <c:formatCode>0.0</c:formatCode>
                <c:ptCount val="4"/>
                <c:pt idx="0">
                  <c:v>9.1482297936070847</c:v>
                </c:pt>
                <c:pt idx="1">
                  <c:v>10.925653777682868</c:v>
                </c:pt>
                <c:pt idx="2">
                  <c:v>10.846411811098964</c:v>
                </c:pt>
                <c:pt idx="3">
                  <c:v>10.604367254095976</c:v>
                </c:pt>
              </c:numCache>
            </c:numRef>
          </c:val>
          <c:extLst xmlns:c15="http://schemas.microsoft.com/office/drawing/2012/chart">
            <c:ext xmlns:c16="http://schemas.microsoft.com/office/drawing/2014/chart" uri="{C3380CC4-5D6E-409C-BE32-E72D297353CC}">
              <c16:uniqueId val="{00000000-2BE6-4101-86C5-73246043CD8C}"/>
            </c:ext>
          </c:extLst>
        </c:ser>
        <c:ser>
          <c:idx val="2"/>
          <c:order val="1"/>
          <c:tx>
            <c:strRef>
              <c:f>'Net Cost'!$D$5</c:f>
              <c:strCache>
                <c:ptCount val="1"/>
                <c:pt idx="0">
                  <c:v>High Congestion Scenario</c:v>
                </c:pt>
              </c:strCache>
            </c:strRef>
          </c:tx>
          <c:spPr>
            <a:solidFill>
              <a:schemeClr val="accent4"/>
            </a:solidFill>
            <a:ln>
              <a:noFill/>
            </a:ln>
            <a:effectLst/>
          </c:spPr>
          <c:invertIfNegative val="0"/>
          <c:cat>
            <c:numRef>
              <c:f>'Net Cost'!$A$19:$A$22</c:f>
              <c:numCache>
                <c:formatCode>General</c:formatCode>
                <c:ptCount val="4"/>
                <c:pt idx="0">
                  <c:v>14</c:v>
                </c:pt>
                <c:pt idx="1">
                  <c:v>15</c:v>
                </c:pt>
                <c:pt idx="2">
                  <c:v>16</c:v>
                </c:pt>
                <c:pt idx="3">
                  <c:v>17</c:v>
                </c:pt>
              </c:numCache>
            </c:numRef>
          </c:cat>
          <c:val>
            <c:numRef>
              <c:f>'Net Cost'!$J$19:$J$22</c:f>
              <c:numCache>
                <c:formatCode>_(* #,##0.00_);_(* \(#,##0.00\);_(* "-"??_);_(@_)</c:formatCode>
                <c:ptCount val="4"/>
                <c:pt idx="0">
                  <c:v>3.4060593027219728</c:v>
                </c:pt>
                <c:pt idx="1">
                  <c:v>2.542678534484637</c:v>
                </c:pt>
                <c:pt idx="2">
                  <c:v>2.3593329120982318</c:v>
                </c:pt>
                <c:pt idx="3">
                  <c:v>3.0991923479011207</c:v>
                </c:pt>
              </c:numCache>
            </c:numRef>
          </c:val>
          <c:extLst>
            <c:ext xmlns:c16="http://schemas.microsoft.com/office/drawing/2014/chart" uri="{C3380CC4-5D6E-409C-BE32-E72D297353CC}">
              <c16:uniqueId val="{00000001-2BE6-4101-86C5-73246043CD8C}"/>
            </c:ext>
          </c:extLst>
        </c:ser>
        <c:dLbls>
          <c:showLegendKey val="0"/>
          <c:showVal val="0"/>
          <c:showCatName val="0"/>
          <c:showSerName val="0"/>
          <c:showPercent val="0"/>
          <c:showBubbleSize val="0"/>
        </c:dLbls>
        <c:gapWidth val="150"/>
        <c:overlap val="100"/>
        <c:axId val="1271311887"/>
        <c:axId val="1271312367"/>
        <c:extLst>
          <c:ext xmlns:c15="http://schemas.microsoft.com/office/drawing/2012/chart" uri="{02D57815-91ED-43cb-92C2-25804820EDAC}">
            <c15:filteredBarSeries>
              <c15:ser>
                <c:idx val="1"/>
                <c:order val="2"/>
                <c:spPr>
                  <a:solidFill>
                    <a:schemeClr val="accent2"/>
                  </a:solidFill>
                  <a:ln>
                    <a:noFill/>
                  </a:ln>
                  <a:effectLst/>
                </c:spPr>
                <c:invertIfNegative val="0"/>
                <c:cat>
                  <c:numRef>
                    <c:extLst>
                      <c:ext uri="{02D57815-91ED-43cb-92C2-25804820EDAC}">
                        <c15:formulaRef>
                          <c15:sqref>'Net Cost'!$A$19:$A$22</c15:sqref>
                        </c15:formulaRef>
                      </c:ext>
                    </c:extLst>
                    <c:numCache>
                      <c:formatCode>General</c:formatCode>
                      <c:ptCount val="4"/>
                      <c:pt idx="0">
                        <c:v>14</c:v>
                      </c:pt>
                      <c:pt idx="1">
                        <c:v>15</c:v>
                      </c:pt>
                      <c:pt idx="2">
                        <c:v>16</c:v>
                      </c:pt>
                      <c:pt idx="3">
                        <c:v>17</c:v>
                      </c:pt>
                    </c:numCache>
                  </c:numRef>
                </c:cat>
                <c:val>
                  <c:numRef>
                    <c:extLst>
                      <c:ext uri="{02D57815-91ED-43cb-92C2-25804820EDAC}">
                        <c15:formulaRef>
                          <c15:sqref>'Net Cost'!$B$6:$B$18</c15:sqref>
                        </c15:formulaRef>
                      </c:ext>
                    </c:extLst>
                    <c:numCache>
                      <c:formatCode>_(* #,##0.0_);_(* \(#,##0.0\);_(* "-"??_);_(@_)</c:formatCode>
                      <c:ptCount val="13"/>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numCache>
                  </c:numRef>
                </c:val>
                <c:extLst>
                  <c:ext xmlns:c16="http://schemas.microsoft.com/office/drawing/2014/chart" uri="{C3380CC4-5D6E-409C-BE32-E72D297353CC}">
                    <c16:uniqueId val="{00000002-2BE6-4101-86C5-73246043CD8C}"/>
                  </c:ext>
                </c:extLst>
              </c15:ser>
            </c15:filteredBarSeries>
          </c:ext>
        </c:extLst>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$B</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NPV of 20-Yr Annual Net Costs ($B)</a:t>
            </a:r>
          </a:p>
        </c:rich>
      </c:tx>
      <c:layout>
        <c:manualLayout>
          <c:xMode val="edge"/>
          <c:yMode val="edge"/>
          <c:x val="0.30282899252977985"/>
          <c:y val="2.265372168284789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'Net Cost'!$B$5</c:f>
              <c:strCache>
                <c:ptCount val="1"/>
                <c:pt idx="0">
                  <c:v>UPLAN - Normal Conditions</c:v>
                </c:pt>
              </c:strCache>
            </c:strRef>
          </c:tx>
          <c:spPr>
            <a:solidFill>
              <a:schemeClr val="accent2"/>
            </a:solidFill>
            <a:ln>
              <a:noFill/>
            </a:ln>
            <a:effectLst/>
          </c:spPr>
          <c:invertIfNegative val="0"/>
          <c:cat>
            <c:numRef>
              <c:f>'Net Cost'!$A$19:$A$22</c:f>
              <c:numCache>
                <c:formatCode>General</c:formatCode>
                <c:ptCount val="4"/>
                <c:pt idx="0">
                  <c:v>14</c:v>
                </c:pt>
                <c:pt idx="1">
                  <c:v>15</c:v>
                </c:pt>
                <c:pt idx="2">
                  <c:v>16</c:v>
                </c:pt>
                <c:pt idx="3">
                  <c:v>17</c:v>
                </c:pt>
              </c:numCache>
            </c:numRef>
          </c:cat>
          <c:val>
            <c:numRef>
              <c:f>'Net Cost'!$B$19:$B$22</c:f>
              <c:numCache>
                <c:formatCode>0.0</c:formatCode>
                <c:ptCount val="4"/>
                <c:pt idx="0">
                  <c:v>9.1482297936070847</c:v>
                </c:pt>
                <c:pt idx="1">
                  <c:v>10.925653777682868</c:v>
                </c:pt>
                <c:pt idx="2">
                  <c:v>10.846411811098964</c:v>
                </c:pt>
                <c:pt idx="3">
                  <c:v>10.604367254095976</c:v>
                </c:pt>
              </c:numCache>
            </c:numRef>
          </c:val>
          <c:extLst xmlns:c15="http://schemas.microsoft.com/office/drawing/2012/chart">
            <c:ext xmlns:c16="http://schemas.microsoft.com/office/drawing/2014/chart" uri="{C3380CC4-5D6E-409C-BE32-E72D297353CC}">
              <c16:uniqueId val="{00000000-EE87-46AB-AB5C-4C970093F68C}"/>
            </c:ext>
          </c:extLst>
        </c:ser>
        <c:ser>
          <c:idx val="2"/>
          <c:order val="1"/>
          <c:tx>
            <c:strRef>
              <c:f>'Net Cost'!$E$5</c:f>
              <c:strCache>
                <c:ptCount val="1"/>
                <c:pt idx="0">
                  <c:v>High Load Growth Scenario</c:v>
                </c:pt>
              </c:strCache>
            </c:strRef>
          </c:tx>
          <c:spPr>
            <a:solidFill>
              <a:schemeClr val="accent6"/>
            </a:solidFill>
            <a:ln>
              <a:noFill/>
            </a:ln>
            <a:effectLst/>
          </c:spPr>
          <c:invertIfNegative val="0"/>
          <c:cat>
            <c:numRef>
              <c:f>'Net Cost'!$A$19:$A$22</c:f>
              <c:numCache>
                <c:formatCode>General</c:formatCode>
                <c:ptCount val="4"/>
                <c:pt idx="0">
                  <c:v>14</c:v>
                </c:pt>
                <c:pt idx="1">
                  <c:v>15</c:v>
                </c:pt>
                <c:pt idx="2">
                  <c:v>16</c:v>
                </c:pt>
                <c:pt idx="3">
                  <c:v>17</c:v>
                </c:pt>
              </c:numCache>
            </c:numRef>
          </c:cat>
          <c:val>
            <c:numRef>
              <c:f>'Net Cost'!$K$19:$K$22</c:f>
              <c:numCache>
                <c:formatCode>_(* #,##0.00_);_(* \(#,##0.00\);_(* "-"??_);_(@_)</c:formatCode>
                <c:ptCount val="4"/>
                <c:pt idx="0">
                  <c:v>3.1095280355726831</c:v>
                </c:pt>
                <c:pt idx="1">
                  <c:v>3.3105617245070351</c:v>
                </c:pt>
                <c:pt idx="2">
                  <c:v>2.7979558778589357</c:v>
                </c:pt>
                <c:pt idx="3">
                  <c:v>3.0291317980067318</c:v>
                </c:pt>
              </c:numCache>
            </c:numRef>
          </c:val>
          <c:extLst>
            <c:ext xmlns:c16="http://schemas.microsoft.com/office/drawing/2014/chart" uri="{C3380CC4-5D6E-409C-BE32-E72D297353CC}">
              <c16:uniqueId val="{00000001-EE87-46AB-AB5C-4C970093F68C}"/>
            </c:ext>
          </c:extLst>
        </c:ser>
        <c:dLbls>
          <c:showLegendKey val="0"/>
          <c:showVal val="0"/>
          <c:showCatName val="0"/>
          <c:showSerName val="0"/>
          <c:showPercent val="0"/>
          <c:showBubbleSize val="0"/>
        </c:dLbls>
        <c:gapWidth val="150"/>
        <c:overlap val="100"/>
        <c:axId val="1271311887"/>
        <c:axId val="1271312367"/>
        <c:extLst>
          <c:ext xmlns:c15="http://schemas.microsoft.com/office/drawing/2012/chart" uri="{02D57815-91ED-43cb-92C2-25804820EDAC}">
            <c15:filteredBarSeries>
              <c15:ser>
                <c:idx val="1"/>
                <c:order val="2"/>
                <c:spPr>
                  <a:solidFill>
                    <a:schemeClr val="accent2"/>
                  </a:solidFill>
                  <a:ln>
                    <a:noFill/>
                  </a:ln>
                  <a:effectLst/>
                </c:spPr>
                <c:invertIfNegative val="0"/>
                <c:cat>
                  <c:numRef>
                    <c:extLst>
                      <c:ext uri="{02D57815-91ED-43cb-92C2-25804820EDAC}">
                        <c15:formulaRef>
                          <c15:sqref>'Net Cost'!$A$19:$A$22</c15:sqref>
                        </c15:formulaRef>
                      </c:ext>
                    </c:extLst>
                    <c:numCache>
                      <c:formatCode>General</c:formatCode>
                      <c:ptCount val="4"/>
                      <c:pt idx="0">
                        <c:v>14</c:v>
                      </c:pt>
                      <c:pt idx="1">
                        <c:v>15</c:v>
                      </c:pt>
                      <c:pt idx="2">
                        <c:v>16</c:v>
                      </c:pt>
                      <c:pt idx="3">
                        <c:v>17</c:v>
                      </c:pt>
                    </c:numCache>
                  </c:numRef>
                </c:cat>
                <c:val>
                  <c:numRef>
                    <c:extLst>
                      <c:ext uri="{02D57815-91ED-43cb-92C2-25804820EDAC}">
                        <c15:formulaRef>
                          <c15:sqref>'Net Cost'!$B$6:$B$18</c15:sqref>
                        </c15:formulaRef>
                      </c:ext>
                    </c:extLst>
                    <c:numCache>
                      <c:formatCode>_(* #,##0.0_);_(* \(#,##0.0\);_(* "-"??_);_(@_)</c:formatCode>
                      <c:ptCount val="13"/>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numCache>
                  </c:numRef>
                </c:val>
                <c:extLst>
                  <c:ext xmlns:c16="http://schemas.microsoft.com/office/drawing/2014/chart" uri="{C3380CC4-5D6E-409C-BE32-E72D297353CC}">
                    <c16:uniqueId val="{00000002-EE87-46AB-AB5C-4C970093F68C}"/>
                  </c:ext>
                </c:extLst>
              </c15:ser>
            </c15:filteredBarSeries>
          </c:ext>
        </c:extLst>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$B</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NPV of 20-Yr Annual Net Costs ($B)</a:t>
            </a:r>
          </a:p>
        </c:rich>
      </c:tx>
      <c:layout>
        <c:manualLayout>
          <c:xMode val="edge"/>
          <c:yMode val="edge"/>
          <c:x val="0.30282899252977985"/>
          <c:y val="2.265372168284789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'Net Cost'!$B$5</c:f>
              <c:strCache>
                <c:ptCount val="1"/>
                <c:pt idx="0">
                  <c:v>UPLAN - Normal Conditions</c:v>
                </c:pt>
              </c:strCache>
            </c:strRef>
          </c:tx>
          <c:spPr>
            <a:solidFill>
              <a:schemeClr val="accent2"/>
            </a:solidFill>
            <a:ln>
              <a:noFill/>
            </a:ln>
            <a:effectLst/>
          </c:spPr>
          <c:invertIfNegative val="0"/>
          <c:cat>
            <c:numRef>
              <c:f>'Net Cost'!$A$19:$A$22</c:f>
              <c:numCache>
                <c:formatCode>General</c:formatCode>
                <c:ptCount val="4"/>
                <c:pt idx="0">
                  <c:v>14</c:v>
                </c:pt>
                <c:pt idx="1">
                  <c:v>15</c:v>
                </c:pt>
                <c:pt idx="2">
                  <c:v>16</c:v>
                </c:pt>
                <c:pt idx="3">
                  <c:v>17</c:v>
                </c:pt>
              </c:numCache>
            </c:numRef>
          </c:cat>
          <c:val>
            <c:numRef>
              <c:f>'Net Cost'!$B$19:$B$22</c:f>
              <c:numCache>
                <c:formatCode>0.0</c:formatCode>
                <c:ptCount val="4"/>
                <c:pt idx="0">
                  <c:v>9.1482297936070847</c:v>
                </c:pt>
                <c:pt idx="1">
                  <c:v>10.925653777682868</c:v>
                </c:pt>
                <c:pt idx="2">
                  <c:v>10.846411811098964</c:v>
                </c:pt>
                <c:pt idx="3">
                  <c:v>10.604367254095976</c:v>
                </c:pt>
              </c:numCache>
            </c:numRef>
          </c:val>
          <c:extLst xmlns:c15="http://schemas.microsoft.com/office/drawing/2012/chart">
            <c:ext xmlns:c16="http://schemas.microsoft.com/office/drawing/2014/chart" uri="{C3380CC4-5D6E-409C-BE32-E72D297353CC}">
              <c16:uniqueId val="{00000000-F843-41FF-8543-80D9B0A7C676}"/>
            </c:ext>
          </c:extLst>
        </c:ser>
        <c:ser>
          <c:idx val="2"/>
          <c:order val="1"/>
          <c:tx>
            <c:strRef>
              <c:f>'Net Cost'!$F$5</c:f>
              <c:strCache>
                <c:ptCount val="1"/>
                <c:pt idx="0">
                  <c:v>High Fuel Cost Growth Scenario</c:v>
                </c:pt>
              </c:strCache>
            </c:strRef>
          </c:tx>
          <c:spPr>
            <a:solidFill>
              <a:schemeClr val="accent3"/>
            </a:solidFill>
            <a:ln>
              <a:noFill/>
            </a:ln>
            <a:effectLst/>
          </c:spPr>
          <c:invertIfNegative val="0"/>
          <c:cat>
            <c:numRef>
              <c:f>'Net Cost'!$A$19:$A$22</c:f>
              <c:numCache>
                <c:formatCode>General</c:formatCode>
                <c:ptCount val="4"/>
                <c:pt idx="0">
                  <c:v>14</c:v>
                </c:pt>
                <c:pt idx="1">
                  <c:v>15</c:v>
                </c:pt>
                <c:pt idx="2">
                  <c:v>16</c:v>
                </c:pt>
                <c:pt idx="3">
                  <c:v>17</c:v>
                </c:pt>
              </c:numCache>
            </c:numRef>
          </c:cat>
          <c:val>
            <c:numRef>
              <c:f>'Net Cost'!$L$19:$L$22</c:f>
              <c:numCache>
                <c:formatCode>_(* #,##0.00_);_(* \(#,##0.00\);_(* "-"??_);_(@_)</c:formatCode>
                <c:ptCount val="4"/>
                <c:pt idx="0">
                  <c:v>0.72044995615256435</c:v>
                </c:pt>
                <c:pt idx="1">
                  <c:v>0.52989516502107481</c:v>
                </c:pt>
                <c:pt idx="2">
                  <c:v>0.63881008683122853</c:v>
                </c:pt>
                <c:pt idx="3">
                  <c:v>0.59717952590059498</c:v>
                </c:pt>
              </c:numCache>
            </c:numRef>
          </c:val>
          <c:extLst>
            <c:ext xmlns:c16="http://schemas.microsoft.com/office/drawing/2014/chart" uri="{C3380CC4-5D6E-409C-BE32-E72D297353CC}">
              <c16:uniqueId val="{00000001-F843-41FF-8543-80D9B0A7C676}"/>
            </c:ext>
          </c:extLst>
        </c:ser>
        <c:dLbls>
          <c:showLegendKey val="0"/>
          <c:showVal val="0"/>
          <c:showCatName val="0"/>
          <c:showSerName val="0"/>
          <c:showPercent val="0"/>
          <c:showBubbleSize val="0"/>
        </c:dLbls>
        <c:gapWidth val="150"/>
        <c:overlap val="100"/>
        <c:axId val="1271311887"/>
        <c:axId val="1271312367"/>
        <c:extLst>
          <c:ext xmlns:c15="http://schemas.microsoft.com/office/drawing/2012/chart" uri="{02D57815-91ED-43cb-92C2-25804820EDAC}">
            <c15:filteredBarSeries>
              <c15:ser>
                <c:idx val="1"/>
                <c:order val="2"/>
                <c:spPr>
                  <a:solidFill>
                    <a:schemeClr val="accent2"/>
                  </a:solidFill>
                  <a:ln>
                    <a:noFill/>
                  </a:ln>
                  <a:effectLst/>
                </c:spPr>
                <c:invertIfNegative val="0"/>
                <c:cat>
                  <c:numRef>
                    <c:extLst>
                      <c:ext uri="{02D57815-91ED-43cb-92C2-25804820EDAC}">
                        <c15:formulaRef>
                          <c15:sqref>'Net Cost'!$A$19:$A$22</c15:sqref>
                        </c15:formulaRef>
                      </c:ext>
                    </c:extLst>
                    <c:numCache>
                      <c:formatCode>General</c:formatCode>
                      <c:ptCount val="4"/>
                      <c:pt idx="0">
                        <c:v>14</c:v>
                      </c:pt>
                      <c:pt idx="1">
                        <c:v>15</c:v>
                      </c:pt>
                      <c:pt idx="2">
                        <c:v>16</c:v>
                      </c:pt>
                      <c:pt idx="3">
                        <c:v>17</c:v>
                      </c:pt>
                    </c:numCache>
                  </c:numRef>
                </c:cat>
                <c:val>
                  <c:numRef>
                    <c:extLst>
                      <c:ext uri="{02D57815-91ED-43cb-92C2-25804820EDAC}">
                        <c15:formulaRef>
                          <c15:sqref>'Net Cost'!$B$6:$B$18</c15:sqref>
                        </c15:formulaRef>
                      </c:ext>
                    </c:extLst>
                    <c:numCache>
                      <c:formatCode>_(* #,##0.0_);_(* \(#,##0.0\);_(* "-"??_);_(@_)</c:formatCode>
                      <c:ptCount val="13"/>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numCache>
                  </c:numRef>
                </c:val>
                <c:extLst>
                  <c:ext xmlns:c16="http://schemas.microsoft.com/office/drawing/2014/chart" uri="{C3380CC4-5D6E-409C-BE32-E72D297353CC}">
                    <c16:uniqueId val="{00000002-F843-41FF-8543-80D9B0A7C676}"/>
                  </c:ext>
                </c:extLst>
              </c15:ser>
            </c15:filteredBarSeries>
          </c:ext>
        </c:extLst>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$B</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NPV of 20-Yr Annual Net Costs ($B)</a:t>
            </a:r>
          </a:p>
        </c:rich>
      </c:tx>
      <c:layout>
        <c:manualLayout>
          <c:xMode val="edge"/>
          <c:yMode val="edge"/>
          <c:x val="0.30282899252977985"/>
          <c:y val="2.265372168284789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v>Normal Conditions</c:v>
          </c:tx>
          <c:spPr>
            <a:solidFill>
              <a:schemeClr val="accent2"/>
            </a:solidFill>
            <a:ln>
              <a:noFill/>
            </a:ln>
            <a:effectLst/>
          </c:spPr>
          <c:invertIfNegative val="0"/>
          <c:cat>
            <c:numRef>
              <c:f>'Net Cost'!$A$19:$A$22</c:f>
              <c:numCache>
                <c:formatCode>General</c:formatCode>
                <c:ptCount val="4"/>
                <c:pt idx="0">
                  <c:v>14</c:v>
                </c:pt>
                <c:pt idx="1">
                  <c:v>15</c:v>
                </c:pt>
                <c:pt idx="2">
                  <c:v>16</c:v>
                </c:pt>
                <c:pt idx="3">
                  <c:v>17</c:v>
                </c:pt>
              </c:numCache>
            </c:numRef>
          </c:cat>
          <c:val>
            <c:numRef>
              <c:f>'Net Cost'!$B$19:$B$22</c:f>
              <c:numCache>
                <c:formatCode>0.0</c:formatCode>
                <c:ptCount val="4"/>
                <c:pt idx="0">
                  <c:v>9.1482297936070847</c:v>
                </c:pt>
                <c:pt idx="1">
                  <c:v>10.925653777682868</c:v>
                </c:pt>
                <c:pt idx="2">
                  <c:v>10.846411811098964</c:v>
                </c:pt>
                <c:pt idx="3">
                  <c:v>10.604367254095976</c:v>
                </c:pt>
              </c:numCache>
            </c:numRef>
          </c:val>
          <c:extLst xmlns:c15="http://schemas.microsoft.com/office/drawing/2012/chart">
            <c:ext xmlns:c16="http://schemas.microsoft.com/office/drawing/2014/chart" uri="{C3380CC4-5D6E-409C-BE32-E72D297353CC}">
              <c16:uniqueId val="{00000000-60A6-4BCE-ABE9-4D957168E217}"/>
            </c:ext>
          </c:extLst>
        </c:ser>
        <c:ser>
          <c:idx val="5"/>
          <c:order val="1"/>
          <c:tx>
            <c:strRef>
              <c:f>'Net Cost'!$K$5</c:f>
              <c:strCache>
                <c:ptCount val="1"/>
                <c:pt idx="0">
                  <c:v>High Load Growth Scenario</c:v>
                </c:pt>
              </c:strCache>
            </c:strRef>
          </c:tx>
          <c:spPr>
            <a:solidFill>
              <a:schemeClr val="accent6"/>
            </a:solidFill>
            <a:ln>
              <a:noFill/>
            </a:ln>
            <a:effectLst/>
          </c:spPr>
          <c:invertIfNegative val="0"/>
          <c:cat>
            <c:numRef>
              <c:f>'Net Cost'!$A$19:$A$22</c:f>
              <c:numCache>
                <c:formatCode>General</c:formatCode>
                <c:ptCount val="4"/>
                <c:pt idx="0">
                  <c:v>14</c:v>
                </c:pt>
                <c:pt idx="1">
                  <c:v>15</c:v>
                </c:pt>
                <c:pt idx="2">
                  <c:v>16</c:v>
                </c:pt>
                <c:pt idx="3">
                  <c:v>17</c:v>
                </c:pt>
              </c:numCache>
            </c:numRef>
          </c:cat>
          <c:val>
            <c:numRef>
              <c:f>'Net Cost'!$K$19:$K$22</c:f>
              <c:numCache>
                <c:formatCode>_(* #,##0.00_);_(* \(#,##0.00\);_(* "-"??_);_(@_)</c:formatCode>
                <c:ptCount val="4"/>
                <c:pt idx="0">
                  <c:v>3.1095280355726831</c:v>
                </c:pt>
                <c:pt idx="1">
                  <c:v>3.3105617245070351</c:v>
                </c:pt>
                <c:pt idx="2">
                  <c:v>2.7979558778589357</c:v>
                </c:pt>
                <c:pt idx="3">
                  <c:v>3.0291317980067318</c:v>
                </c:pt>
              </c:numCache>
            </c:numRef>
          </c:val>
          <c:extLst>
            <c:ext xmlns:c16="http://schemas.microsoft.com/office/drawing/2014/chart" uri="{C3380CC4-5D6E-409C-BE32-E72D297353CC}">
              <c16:uniqueId val="{00000001-60A6-4BCE-ABE9-4D957168E217}"/>
            </c:ext>
          </c:extLst>
        </c:ser>
        <c:ser>
          <c:idx val="4"/>
          <c:order val="3"/>
          <c:tx>
            <c:strRef>
              <c:f>'Net Cost'!$J$5</c:f>
              <c:strCache>
                <c:ptCount val="1"/>
                <c:pt idx="0">
                  <c:v>High Congestion Scenario</c:v>
                </c:pt>
              </c:strCache>
            </c:strRef>
          </c:tx>
          <c:spPr>
            <a:solidFill>
              <a:schemeClr val="accent5"/>
            </a:solidFill>
            <a:ln>
              <a:noFill/>
            </a:ln>
            <a:effectLst/>
          </c:spPr>
          <c:invertIfNegative val="0"/>
          <c:cat>
            <c:numRef>
              <c:f>'Net Cost'!$A$19:$A$22</c:f>
              <c:numCache>
                <c:formatCode>General</c:formatCode>
                <c:ptCount val="4"/>
                <c:pt idx="0">
                  <c:v>14</c:v>
                </c:pt>
                <c:pt idx="1">
                  <c:v>15</c:v>
                </c:pt>
                <c:pt idx="2">
                  <c:v>16</c:v>
                </c:pt>
                <c:pt idx="3">
                  <c:v>17</c:v>
                </c:pt>
              </c:numCache>
            </c:numRef>
          </c:cat>
          <c:val>
            <c:numRef>
              <c:f>'Net Cost'!$J$19:$J$22</c:f>
              <c:numCache>
                <c:formatCode>_(* #,##0.00_);_(* \(#,##0.00\);_(* "-"??_);_(@_)</c:formatCode>
                <c:ptCount val="4"/>
                <c:pt idx="0">
                  <c:v>3.4060593027219728</c:v>
                </c:pt>
                <c:pt idx="1">
                  <c:v>2.542678534484637</c:v>
                </c:pt>
                <c:pt idx="2">
                  <c:v>2.3593329120982318</c:v>
                </c:pt>
                <c:pt idx="3">
                  <c:v>3.0991923479011207</c:v>
                </c:pt>
              </c:numCache>
            </c:numRef>
          </c:val>
          <c:extLst>
            <c:ext xmlns:c16="http://schemas.microsoft.com/office/drawing/2014/chart" uri="{C3380CC4-5D6E-409C-BE32-E72D297353CC}">
              <c16:uniqueId val="{00000002-60A6-4BCE-ABE9-4D957168E217}"/>
            </c:ext>
          </c:extLst>
        </c:ser>
        <c:ser>
          <c:idx val="3"/>
          <c:order val="4"/>
          <c:tx>
            <c:strRef>
              <c:f>'Net Cost'!$I$5</c:f>
              <c:strCache>
                <c:ptCount val="1"/>
                <c:pt idx="0">
                  <c:v>Extreme Weather Scenario</c:v>
                </c:pt>
              </c:strCache>
            </c:strRef>
          </c:tx>
          <c:spPr>
            <a:solidFill>
              <a:schemeClr val="accent4"/>
            </a:solidFill>
            <a:ln>
              <a:noFill/>
            </a:ln>
            <a:effectLst/>
          </c:spPr>
          <c:invertIfNegative val="0"/>
          <c:cat>
            <c:numRef>
              <c:f>'Net Cost'!$A$19:$A$22</c:f>
              <c:numCache>
                <c:formatCode>General</c:formatCode>
                <c:ptCount val="4"/>
                <c:pt idx="0">
                  <c:v>14</c:v>
                </c:pt>
                <c:pt idx="1">
                  <c:v>15</c:v>
                </c:pt>
                <c:pt idx="2">
                  <c:v>16</c:v>
                </c:pt>
                <c:pt idx="3">
                  <c:v>17</c:v>
                </c:pt>
              </c:numCache>
            </c:numRef>
          </c:cat>
          <c:val>
            <c:numRef>
              <c:f>'Net Cost'!$I$19:$I$22</c:f>
              <c:numCache>
                <c:formatCode>_(* #,##0.00_);_(* \(#,##0.00\);_(* "-"??_);_(@_)</c:formatCode>
                <c:ptCount val="4"/>
                <c:pt idx="0">
                  <c:v>3.3141219086123246</c:v>
                </c:pt>
                <c:pt idx="1">
                  <c:v>4.12</c:v>
                </c:pt>
                <c:pt idx="2">
                  <c:v>3.2</c:v>
                </c:pt>
                <c:pt idx="3">
                  <c:v>3.48</c:v>
                </c:pt>
              </c:numCache>
            </c:numRef>
          </c:val>
          <c:extLst>
            <c:ext xmlns:c16="http://schemas.microsoft.com/office/drawing/2014/chart" uri="{C3380CC4-5D6E-409C-BE32-E72D297353CC}">
              <c16:uniqueId val="{00000003-60A6-4BCE-ABE9-4D957168E217}"/>
            </c:ext>
          </c:extLst>
        </c:ser>
        <c:ser>
          <c:idx val="2"/>
          <c:order val="5"/>
          <c:tx>
            <c:strRef>
              <c:f>'Net Cost'!$F$5</c:f>
              <c:strCache>
                <c:ptCount val="1"/>
                <c:pt idx="0">
                  <c:v>High Fuel Cost Growth Scenario</c:v>
                </c:pt>
              </c:strCache>
            </c:strRef>
          </c:tx>
          <c:spPr>
            <a:solidFill>
              <a:schemeClr val="accent3"/>
            </a:solidFill>
            <a:ln>
              <a:noFill/>
            </a:ln>
            <a:effectLst/>
          </c:spPr>
          <c:invertIfNegative val="0"/>
          <c:cat>
            <c:numRef>
              <c:f>'Net Cost'!$A$19:$A$22</c:f>
              <c:numCache>
                <c:formatCode>General</c:formatCode>
                <c:ptCount val="4"/>
                <c:pt idx="0">
                  <c:v>14</c:v>
                </c:pt>
                <c:pt idx="1">
                  <c:v>15</c:v>
                </c:pt>
                <c:pt idx="2">
                  <c:v>16</c:v>
                </c:pt>
                <c:pt idx="3">
                  <c:v>17</c:v>
                </c:pt>
              </c:numCache>
            </c:numRef>
          </c:cat>
          <c:val>
            <c:numRef>
              <c:f>'Net Cost'!$L$19:$L$22</c:f>
              <c:numCache>
                <c:formatCode>_(* #,##0.00_);_(* \(#,##0.00\);_(* "-"??_);_(@_)</c:formatCode>
                <c:ptCount val="4"/>
                <c:pt idx="0">
                  <c:v>0.72044995615256435</c:v>
                </c:pt>
                <c:pt idx="1">
                  <c:v>0.52989516502107481</c:v>
                </c:pt>
                <c:pt idx="2">
                  <c:v>0.63881008683122853</c:v>
                </c:pt>
                <c:pt idx="3">
                  <c:v>0.59717952590059498</c:v>
                </c:pt>
              </c:numCache>
            </c:numRef>
          </c:val>
          <c:extLst>
            <c:ext xmlns:c16="http://schemas.microsoft.com/office/drawing/2014/chart" uri="{C3380CC4-5D6E-409C-BE32-E72D297353CC}">
              <c16:uniqueId val="{00000004-60A6-4BCE-ABE9-4D957168E217}"/>
            </c:ext>
          </c:extLst>
        </c:ser>
        <c:dLbls>
          <c:showLegendKey val="0"/>
          <c:showVal val="0"/>
          <c:showCatName val="0"/>
          <c:showSerName val="0"/>
          <c:showPercent val="0"/>
          <c:showBubbleSize val="0"/>
        </c:dLbls>
        <c:gapWidth val="150"/>
        <c:overlap val="100"/>
        <c:axId val="1271311887"/>
        <c:axId val="1271312367"/>
        <c:extLst>
          <c:ext xmlns:c15="http://schemas.microsoft.com/office/drawing/2012/chart" uri="{02D57815-91ED-43cb-92C2-25804820EDAC}">
            <c15:filteredBarSeries>
              <c15:ser>
                <c:idx val="1"/>
                <c:order val="2"/>
                <c:spPr>
                  <a:solidFill>
                    <a:schemeClr val="accent2"/>
                  </a:solidFill>
                  <a:ln>
                    <a:noFill/>
                  </a:ln>
                  <a:effectLst/>
                </c:spPr>
                <c:invertIfNegative val="0"/>
                <c:cat>
                  <c:numRef>
                    <c:extLst>
                      <c:ext uri="{02D57815-91ED-43cb-92C2-25804820EDAC}">
                        <c15:formulaRef>
                          <c15:sqref>'Net Cost'!$A$19:$A$22</c15:sqref>
                        </c15:formulaRef>
                      </c:ext>
                    </c:extLst>
                    <c:numCache>
                      <c:formatCode>General</c:formatCode>
                      <c:ptCount val="4"/>
                      <c:pt idx="0">
                        <c:v>14</c:v>
                      </c:pt>
                      <c:pt idx="1">
                        <c:v>15</c:v>
                      </c:pt>
                      <c:pt idx="2">
                        <c:v>16</c:v>
                      </c:pt>
                      <c:pt idx="3">
                        <c:v>17</c:v>
                      </c:pt>
                    </c:numCache>
                  </c:numRef>
                </c:cat>
                <c:val>
                  <c:numRef>
                    <c:extLst>
                      <c:ext uri="{02D57815-91ED-43cb-92C2-25804820EDAC}">
                        <c15:formulaRef>
                          <c15:sqref>'Net Cost'!$B$6:$B$18</c15:sqref>
                        </c15:formulaRef>
                      </c:ext>
                    </c:extLst>
                    <c:numCache>
                      <c:formatCode>_(* #,##0.0_);_(* \(#,##0.0\);_(* "-"??_);_(@_)</c:formatCode>
                      <c:ptCount val="13"/>
                      <c:pt idx="0">
                        <c:v>7.9340732905410034</c:v>
                      </c:pt>
                      <c:pt idx="1">
                        <c:v>10.50947241647096</c:v>
                      </c:pt>
                      <c:pt idx="2">
                        <c:v>7.6284621585795449</c:v>
                      </c:pt>
                      <c:pt idx="3">
                        <c:v>6.6959999999999997</c:v>
                      </c:pt>
                      <c:pt idx="4">
                        <c:v>10.48009148713064</c:v>
                      </c:pt>
                      <c:pt idx="5">
                        <c:v>10.354670868290148</c:v>
                      </c:pt>
                      <c:pt idx="6">
                        <c:v>10.551666721438973</c:v>
                      </c:pt>
                      <c:pt idx="7">
                        <c:v>8.8744820956806496</c:v>
                      </c:pt>
                      <c:pt idx="8">
                        <c:v>9.5946536880651294</c:v>
                      </c:pt>
                      <c:pt idx="9">
                        <c:v>9.8232670362372545</c:v>
                      </c:pt>
                      <c:pt idx="10">
                        <c:v>8.0328268831610981</c:v>
                      </c:pt>
                      <c:pt idx="11">
                        <c:v>10.857590012694613</c:v>
                      </c:pt>
                      <c:pt idx="12">
                        <c:v>11.647295834106599</c:v>
                      </c:pt>
                    </c:numCache>
                  </c:numRef>
                </c:val>
                <c:extLst>
                  <c:ext xmlns:c16="http://schemas.microsoft.com/office/drawing/2014/chart" uri="{C3380CC4-5D6E-409C-BE32-E72D297353CC}">
                    <c16:uniqueId val="{00000005-60A6-4BCE-ABE9-4D957168E217}"/>
                  </c:ext>
                </c:extLst>
              </c15:ser>
            </c15:filteredBarSeries>
          </c:ext>
        </c:extLst>
      </c:barChart>
      <c:lineChart>
        <c:grouping val="stacked"/>
        <c:varyColors val="0"/>
        <c:ser>
          <c:idx val="6"/>
          <c:order val="6"/>
          <c:tx>
            <c:v>Average All Scenarios</c:v>
          </c:tx>
          <c:spPr>
            <a:ln w="28575" cap="rnd">
              <a:noFill/>
              <a:round/>
            </a:ln>
            <a:effectLst/>
          </c:spPr>
          <c:marker>
            <c:symbol val="triangle"/>
            <c:size val="7"/>
            <c:spPr>
              <a:solidFill>
                <a:schemeClr val="accent1">
                  <a:lumMod val="60000"/>
                </a:schemeClr>
              </a:solidFill>
              <a:ln w="25400">
                <a:solidFill>
                  <a:schemeClr val="accent1">
                    <a:lumMod val="60000"/>
                  </a:schemeClr>
                </a:solidFill>
              </a:ln>
              <a:effectLst/>
            </c:spPr>
          </c:marker>
          <c:cat>
            <c:numRef>
              <c:f>'Net Cost'!$A$19:$A$22</c:f>
              <c:numCache>
                <c:formatCode>General</c:formatCode>
                <c:ptCount val="4"/>
                <c:pt idx="0">
                  <c:v>14</c:v>
                </c:pt>
                <c:pt idx="1">
                  <c:v>15</c:v>
                </c:pt>
                <c:pt idx="2">
                  <c:v>16</c:v>
                </c:pt>
                <c:pt idx="3">
                  <c:v>17</c:v>
                </c:pt>
              </c:numCache>
            </c:numRef>
          </c:cat>
          <c:val>
            <c:numRef>
              <c:f>'Net Cost'!$G$19:$G$22</c:f>
              <c:numCache>
                <c:formatCode>_(* #,##0.0_);_(* \(#,##0.0\);_(* "-"??_);_(@_)</c:formatCode>
                <c:ptCount val="4"/>
                <c:pt idx="0" formatCode="0.0">
                  <c:v>11.258261634218993</c:v>
                </c:pt>
                <c:pt idx="1">
                  <c:v>13.026400979006771</c:v>
                </c:pt>
                <c:pt idx="2">
                  <c:v>12.645152022778149</c:v>
                </c:pt>
                <c:pt idx="3">
                  <c:v>12.644844869854968</c:v>
                </c:pt>
              </c:numCache>
            </c:numRef>
          </c:val>
          <c:smooth val="0"/>
          <c:extLst>
            <c:ext xmlns:c16="http://schemas.microsoft.com/office/drawing/2014/chart" uri="{C3380CC4-5D6E-409C-BE32-E72D297353CC}">
              <c16:uniqueId val="{00000000-7E6D-442A-8D0D-1B03D8EB20E1}"/>
            </c:ext>
          </c:extLst>
        </c:ser>
        <c:dLbls>
          <c:showLegendKey val="0"/>
          <c:showVal val="0"/>
          <c:showCatName val="0"/>
          <c:showSerName val="0"/>
          <c:showPercent val="0"/>
          <c:showBubbleSize val="0"/>
        </c:dLbls>
        <c:marker val="1"/>
        <c:smooth val="0"/>
        <c:axId val="1271311887"/>
        <c:axId val="1271312367"/>
      </c:line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$B</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2035 Estimated Customer Assistance Program (CAP) Electricity Burden (Avg of Scenarios)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4988637694514211E-2"/>
          <c:y val="0.10400279258437256"/>
          <c:w val="0.57511986254139413"/>
          <c:h val="0.75842862406197753"/>
        </c:manualLayout>
      </c:layout>
      <c:barChart>
        <c:barDir val="col"/>
        <c:grouping val="clustered"/>
        <c:varyColors val="0"/>
        <c:ser>
          <c:idx val="0"/>
          <c:order val="0"/>
          <c:tx>
            <c:strRef>
              <c:f>'Bill Impact'!$E$53</c:f>
              <c:strCache>
                <c:ptCount val="1"/>
                <c:pt idx="0">
                  <c:v>2035 Estimated CAP Customer Electricity Burden</c:v>
                </c:pt>
              </c:strCache>
            </c:strRef>
          </c:tx>
          <c:spPr>
            <a:solidFill>
              <a:schemeClr val="accent1"/>
            </a:solidFill>
            <a:ln>
              <a:noFill/>
            </a:ln>
            <a:effectLst/>
          </c:spPr>
          <c:invertIfNegative val="0"/>
          <c:val>
            <c:numRef>
              <c:f>'Bill Impact'!$E$54:$E$70</c:f>
              <c:numCache>
                <c:formatCode>0.0%</c:formatCode>
                <c:ptCount val="17"/>
                <c:pt idx="0">
                  <c:v>3.6564022402966877E-2</c:v>
                </c:pt>
                <c:pt idx="1">
                  <c:v>4.4677467550194652E-2</c:v>
                </c:pt>
                <c:pt idx="2">
                  <c:v>3.4949782867808914E-2</c:v>
                </c:pt>
                <c:pt idx="3">
                  <c:v>3.1554930813570588E-2</c:v>
                </c:pt>
                <c:pt idx="4">
                  <c:v>4.5018806890615798E-2</c:v>
                </c:pt>
                <c:pt idx="5">
                  <c:v>4.4966514023790698E-2</c:v>
                </c:pt>
                <c:pt idx="6">
                  <c:v>4.5311596987757941E-2</c:v>
                </c:pt>
                <c:pt idx="7">
                  <c:v>3.7911659960009732E-2</c:v>
                </c:pt>
                <c:pt idx="8">
                  <c:v>4.1143099750053889E-2</c:v>
                </c:pt>
                <c:pt idx="9">
                  <c:v>4.1407868879570854E-2</c:v>
                </c:pt>
                <c:pt idx="10">
                  <c:v>3.5538457808760637E-2</c:v>
                </c:pt>
                <c:pt idx="11">
                  <c:v>4.6871029456943172E-2</c:v>
                </c:pt>
                <c:pt idx="12">
                  <c:v>4.8528621388618159E-2</c:v>
                </c:pt>
                <c:pt idx="13">
                  <c:v>3.9478003316082727E-2</c:v>
                </c:pt>
                <c:pt idx="14">
                  <c:v>4.6959587182218522E-2</c:v>
                </c:pt>
                <c:pt idx="15">
                  <c:v>4.5371489133323915E-2</c:v>
                </c:pt>
                <c:pt idx="16">
                  <c:v>4.4642276659516318E-2</c:v>
                </c:pt>
              </c:numCache>
            </c:numRef>
          </c:val>
          <c:extLst>
            <c:ext xmlns:c16="http://schemas.microsoft.com/office/drawing/2014/chart" uri="{C3380CC4-5D6E-409C-BE32-E72D297353CC}">
              <c16:uniqueId val="{00000000-6980-495B-A5E9-F414A429A11E}"/>
            </c:ext>
          </c:extLst>
        </c:ser>
        <c:dLbls>
          <c:showLegendKey val="0"/>
          <c:showVal val="0"/>
          <c:showCatName val="0"/>
          <c:showSerName val="0"/>
          <c:showPercent val="0"/>
          <c:showBubbleSize val="0"/>
        </c:dLbls>
        <c:gapWidth val="150"/>
        <c:axId val="1086561263"/>
        <c:axId val="1086554543"/>
      </c:barChart>
      <c:lineChart>
        <c:grouping val="standard"/>
        <c:varyColors val="0"/>
        <c:ser>
          <c:idx val="1"/>
          <c:order val="1"/>
          <c:tx>
            <c:strRef>
              <c:f>'Bill Impact'!$C$53</c:f>
              <c:strCache>
                <c:ptCount val="1"/>
                <c:pt idx="0">
                  <c:v>2023 Estimated CAP Customer Electricity Burden</c:v>
                </c:pt>
              </c:strCache>
            </c:strRef>
          </c:tx>
          <c:spPr>
            <a:ln w="28575" cap="rnd">
              <a:solidFill>
                <a:schemeClr val="accent2"/>
              </a:solidFill>
              <a:prstDash val="dash"/>
              <a:round/>
            </a:ln>
            <a:effectLst/>
          </c:spPr>
          <c:marker>
            <c:symbol val="none"/>
          </c:marker>
          <c:val>
            <c:numRef>
              <c:f>'Bill Impact'!$C$54:$C$70</c:f>
              <c:numCache>
                <c:formatCode>0.00%</c:formatCode>
                <c:ptCount val="17"/>
                <c:pt idx="0">
                  <c:v>3.7999999999999999E-2</c:v>
                </c:pt>
                <c:pt idx="1">
                  <c:v>3.7999999999999999E-2</c:v>
                </c:pt>
                <c:pt idx="2">
                  <c:v>3.7999999999999999E-2</c:v>
                </c:pt>
                <c:pt idx="3">
                  <c:v>3.7999999999999999E-2</c:v>
                </c:pt>
                <c:pt idx="4">
                  <c:v>3.7999999999999999E-2</c:v>
                </c:pt>
                <c:pt idx="5">
                  <c:v>3.7999999999999999E-2</c:v>
                </c:pt>
                <c:pt idx="6">
                  <c:v>3.7999999999999999E-2</c:v>
                </c:pt>
                <c:pt idx="7">
                  <c:v>3.7999999999999999E-2</c:v>
                </c:pt>
                <c:pt idx="8">
                  <c:v>3.7999999999999999E-2</c:v>
                </c:pt>
                <c:pt idx="9">
                  <c:v>3.7999999999999999E-2</c:v>
                </c:pt>
                <c:pt idx="10">
                  <c:v>3.7999999999999999E-2</c:v>
                </c:pt>
                <c:pt idx="11">
                  <c:v>3.7999999999999999E-2</c:v>
                </c:pt>
                <c:pt idx="12">
                  <c:v>3.7999999999999999E-2</c:v>
                </c:pt>
                <c:pt idx="13">
                  <c:v>3.7999999999999999E-2</c:v>
                </c:pt>
                <c:pt idx="14">
                  <c:v>3.7999999999999999E-2</c:v>
                </c:pt>
                <c:pt idx="15">
                  <c:v>3.7999999999999999E-2</c:v>
                </c:pt>
                <c:pt idx="16">
                  <c:v>3.7999999999999999E-2</c:v>
                </c:pt>
              </c:numCache>
            </c:numRef>
          </c:val>
          <c:smooth val="0"/>
          <c:extLst>
            <c:ext xmlns:c16="http://schemas.microsoft.com/office/drawing/2014/chart" uri="{C3380CC4-5D6E-409C-BE32-E72D297353CC}">
              <c16:uniqueId val="{00000001-6980-495B-A5E9-F414A429A11E}"/>
            </c:ext>
          </c:extLst>
        </c:ser>
        <c:ser>
          <c:idx val="2"/>
          <c:order val="2"/>
          <c:tx>
            <c:strRef>
              <c:f>'Bill Impact'!$D$53</c:f>
              <c:strCache>
                <c:ptCount val="1"/>
                <c:pt idx="0">
                  <c:v>2023 State of Texas Average Low Income Customer Electricity Burden</c:v>
                </c:pt>
              </c:strCache>
            </c:strRef>
          </c:tx>
          <c:spPr>
            <a:ln w="28575" cap="rnd">
              <a:solidFill>
                <a:schemeClr val="tx1"/>
              </a:solidFill>
              <a:prstDash val="dash"/>
              <a:round/>
            </a:ln>
            <a:effectLst/>
          </c:spPr>
          <c:marker>
            <c:symbol val="none"/>
          </c:marker>
          <c:val>
            <c:numRef>
              <c:f>'Bill Impact'!$D$54:$D$70</c:f>
              <c:numCache>
                <c:formatCode>0.00%</c:formatCode>
                <c:ptCount val="17"/>
                <c:pt idx="0">
                  <c:v>0.05</c:v>
                </c:pt>
                <c:pt idx="1">
                  <c:v>0.05</c:v>
                </c:pt>
                <c:pt idx="2">
                  <c:v>0.05</c:v>
                </c:pt>
                <c:pt idx="3">
                  <c:v>0.05</c:v>
                </c:pt>
                <c:pt idx="4">
                  <c:v>0.05</c:v>
                </c:pt>
                <c:pt idx="5">
                  <c:v>0.05</c:v>
                </c:pt>
                <c:pt idx="6">
                  <c:v>0.05</c:v>
                </c:pt>
                <c:pt idx="7">
                  <c:v>0.05</c:v>
                </c:pt>
                <c:pt idx="8">
                  <c:v>0.05</c:v>
                </c:pt>
                <c:pt idx="9">
                  <c:v>0.05</c:v>
                </c:pt>
                <c:pt idx="10">
                  <c:v>0.05</c:v>
                </c:pt>
                <c:pt idx="11">
                  <c:v>0.05</c:v>
                </c:pt>
                <c:pt idx="12">
                  <c:v>0.05</c:v>
                </c:pt>
                <c:pt idx="13">
                  <c:v>0.05</c:v>
                </c:pt>
                <c:pt idx="14">
                  <c:v>0.05</c:v>
                </c:pt>
                <c:pt idx="15">
                  <c:v>0.05</c:v>
                </c:pt>
                <c:pt idx="16">
                  <c:v>0.05</c:v>
                </c:pt>
              </c:numCache>
            </c:numRef>
          </c:val>
          <c:smooth val="0"/>
          <c:extLst>
            <c:ext xmlns:c16="http://schemas.microsoft.com/office/drawing/2014/chart" uri="{C3380CC4-5D6E-409C-BE32-E72D297353CC}">
              <c16:uniqueId val="{00000002-6980-495B-A5E9-F414A429A11E}"/>
            </c:ext>
          </c:extLst>
        </c:ser>
        <c:dLbls>
          <c:showLegendKey val="0"/>
          <c:showVal val="0"/>
          <c:showCatName val="0"/>
          <c:showSerName val="0"/>
          <c:showPercent val="0"/>
          <c:showBubbleSize val="0"/>
        </c:dLbls>
        <c:marker val="1"/>
        <c:smooth val="0"/>
        <c:axId val="1086561263"/>
        <c:axId val="1086554543"/>
      </c:lineChart>
      <c:catAx>
        <c:axId val="1086561263"/>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Portfolio #</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6554543"/>
        <c:crosses val="autoZero"/>
        <c:auto val="1"/>
        <c:lblAlgn val="ctr"/>
        <c:lblOffset val="100"/>
        <c:noMultiLvlLbl val="0"/>
      </c:catAx>
      <c:valAx>
        <c:axId val="1086554543"/>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Electricity Burden</a:t>
                </a:r>
              </a:p>
            </c:rich>
          </c:tx>
          <c:layout>
            <c:manualLayout>
              <c:xMode val="edge"/>
              <c:yMode val="edge"/>
              <c:x val="2.2897012715755793E-2"/>
              <c:y val="0.3955953327616226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6561263"/>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0" i="0" u="none" strike="noStrike" kern="1200" spc="0" baseline="0">
                <a:solidFill>
                  <a:schemeClr val="tx1">
                    <a:lumMod val="65000"/>
                    <a:lumOff val="35000"/>
                  </a:schemeClr>
                </a:solidFill>
                <a:latin typeface="Aptos" panose="020B0004020202020204" pitchFamily="34" charset="0"/>
                <a:ea typeface="+mn-ea"/>
                <a:cs typeface="+mn-cs"/>
              </a:defRPr>
            </a:pPr>
            <a:r>
              <a:rPr lang="en-US" sz="1800">
                <a:latin typeface="Aptos" panose="020B0004020202020204" pitchFamily="34" charset="0"/>
              </a:rPr>
              <a:t>Avg Monthly Bill Impact by Year ($/Month)</a:t>
            </a:r>
          </a:p>
        </c:rich>
      </c:tx>
      <c:overlay val="0"/>
      <c:spPr>
        <a:noFill/>
        <a:ln>
          <a:noFill/>
        </a:ln>
        <a:effectLst/>
      </c:spPr>
      <c:txPr>
        <a:bodyPr rot="0" spcFirstLastPara="1" vertOverflow="ellipsis" vert="horz" wrap="square" anchor="ctr" anchorCtr="1"/>
        <a:lstStyle/>
        <a:p>
          <a:pPr>
            <a:defRPr sz="1800" b="0" i="0" u="none" strike="noStrike" kern="1200" spc="0" baseline="0">
              <a:solidFill>
                <a:schemeClr val="tx1">
                  <a:lumMod val="65000"/>
                  <a:lumOff val="35000"/>
                </a:schemeClr>
              </a:solidFill>
              <a:latin typeface="Aptos" panose="020B0004020202020204" pitchFamily="34" charset="0"/>
              <a:ea typeface="+mn-ea"/>
              <a:cs typeface="+mn-cs"/>
            </a:defRPr>
          </a:pPr>
          <a:endParaRPr lang="en-US"/>
        </a:p>
      </c:txPr>
    </c:title>
    <c:autoTitleDeleted val="0"/>
    <c:plotArea>
      <c:layout>
        <c:manualLayout>
          <c:layoutTarget val="inner"/>
          <c:xMode val="edge"/>
          <c:yMode val="edge"/>
          <c:x val="3.5797740732910775E-2"/>
          <c:y val="0.10960401891252955"/>
          <c:w val="0.74734028778440253"/>
          <c:h val="0.82184318050669203"/>
        </c:manualLayout>
      </c:layout>
      <c:lineChart>
        <c:grouping val="standard"/>
        <c:varyColors val="0"/>
        <c:ser>
          <c:idx val="10"/>
          <c:order val="12"/>
          <c:tx>
            <c:strRef>
              <c:f>'Bill Impact'!$B$26</c:f>
              <c:strCache>
                <c:ptCount val="1"/>
                <c:pt idx="0">
                  <c:v>15</c:v>
                </c:pt>
              </c:strCache>
            </c:strRef>
          </c:tx>
          <c:spPr>
            <a:ln w="28575" cap="rnd">
              <a:solidFill>
                <a:schemeClr val="accent5">
                  <a:lumMod val="60000"/>
                </a:schemeClr>
              </a:solidFill>
              <a:round/>
            </a:ln>
            <a:effectLst/>
          </c:spPr>
          <c:marker>
            <c:symbol val="none"/>
          </c:marker>
          <c:cat>
            <c:numRef>
              <c:f>'Bill Impact'!$C$11:$M$11</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Impact'!$C$26:$M$26</c:f>
              <c:numCache>
                <c:formatCode>_("$"* #,##0.00_);_("$"* \(#,##0.00\);_("$"* "-"??_);_(@_)</c:formatCode>
                <c:ptCount val="11"/>
                <c:pt idx="0">
                  <c:v>1.0805506669964786</c:v>
                </c:pt>
                <c:pt idx="1">
                  <c:v>9.6880337027702446</c:v>
                </c:pt>
                <c:pt idx="2">
                  <c:v>18.546428126504406</c:v>
                </c:pt>
                <c:pt idx="3">
                  <c:v>17.014375401458157</c:v>
                </c:pt>
                <c:pt idx="4">
                  <c:v>29.709359788144383</c:v>
                </c:pt>
                <c:pt idx="5">
                  <c:v>39.306084223084781</c:v>
                </c:pt>
                <c:pt idx="6">
                  <c:v>40.337565540311068</c:v>
                </c:pt>
                <c:pt idx="7">
                  <c:v>45.163556672697304</c:v>
                </c:pt>
                <c:pt idx="8">
                  <c:v>51.802225788896656</c:v>
                </c:pt>
                <c:pt idx="9">
                  <c:v>57.706986474765053</c:v>
                </c:pt>
                <c:pt idx="10">
                  <c:v>75.176700988561976</c:v>
                </c:pt>
              </c:numCache>
            </c:numRef>
          </c:val>
          <c:smooth val="0"/>
          <c:extLst xmlns:c15="http://schemas.microsoft.com/office/drawing/2012/chart">
            <c:ext xmlns:c16="http://schemas.microsoft.com/office/drawing/2014/chart" uri="{C3380CC4-5D6E-409C-BE32-E72D297353CC}">
              <c16:uniqueId val="{0000000F-4BD4-4B45-974D-8BEBCAE3CFF0}"/>
            </c:ext>
          </c:extLst>
        </c:ser>
        <c:ser>
          <c:idx val="2"/>
          <c:order val="13"/>
          <c:tx>
            <c:strRef>
              <c:f>'Bill Impact'!$B$27</c:f>
              <c:strCache>
                <c:ptCount val="1"/>
                <c:pt idx="0">
                  <c:v>16</c:v>
                </c:pt>
              </c:strCache>
            </c:strRef>
          </c:tx>
          <c:spPr>
            <a:ln w="28575" cap="rnd">
              <a:solidFill>
                <a:schemeClr val="accent3"/>
              </a:solidFill>
              <a:round/>
            </a:ln>
            <a:effectLst/>
          </c:spPr>
          <c:marker>
            <c:symbol val="none"/>
          </c:marker>
          <c:cat>
            <c:numRef>
              <c:f>'Bill Impact'!$C$11:$M$11</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Impact'!$C$27:$M$27</c:f>
              <c:numCache>
                <c:formatCode>_("$"* #,##0.00_);_("$"* \(#,##0.00\);_("$"* "-"??_);_(@_)</c:formatCode>
                <c:ptCount val="11"/>
                <c:pt idx="0">
                  <c:v>1.0805506669964786</c:v>
                </c:pt>
                <c:pt idx="1">
                  <c:v>9.6880337027702446</c:v>
                </c:pt>
                <c:pt idx="2">
                  <c:v>18.546428126504406</c:v>
                </c:pt>
                <c:pt idx="3">
                  <c:v>17.014375401458157</c:v>
                </c:pt>
                <c:pt idx="4">
                  <c:v>29.709359788144383</c:v>
                </c:pt>
                <c:pt idx="5">
                  <c:v>39.306084223084781</c:v>
                </c:pt>
                <c:pt idx="6">
                  <c:v>40.337565540311068</c:v>
                </c:pt>
                <c:pt idx="7">
                  <c:v>45.163556672697304</c:v>
                </c:pt>
                <c:pt idx="8">
                  <c:v>51.549758185591791</c:v>
                </c:pt>
                <c:pt idx="9">
                  <c:v>57.671235627883505</c:v>
                </c:pt>
                <c:pt idx="10">
                  <c:v>69.551460092076269</c:v>
                </c:pt>
              </c:numCache>
            </c:numRef>
          </c:val>
          <c:smooth val="0"/>
          <c:extLst xmlns:c15="http://schemas.microsoft.com/office/drawing/2012/chart">
            <c:ext xmlns:c16="http://schemas.microsoft.com/office/drawing/2014/chart" uri="{C3380CC4-5D6E-409C-BE32-E72D297353CC}">
              <c16:uniqueId val="{00000010-4BD4-4B45-974D-8BEBCAE3CFF0}"/>
            </c:ext>
          </c:extLst>
        </c:ser>
        <c:ser>
          <c:idx val="3"/>
          <c:order val="14"/>
          <c:tx>
            <c:strRef>
              <c:f>'Bill Impact'!$B$28</c:f>
              <c:strCache>
                <c:ptCount val="1"/>
                <c:pt idx="0">
                  <c:v>17</c:v>
                </c:pt>
              </c:strCache>
            </c:strRef>
          </c:tx>
          <c:spPr>
            <a:ln w="28575" cap="rnd">
              <a:solidFill>
                <a:schemeClr val="accent4"/>
              </a:solidFill>
              <a:round/>
            </a:ln>
            <a:effectLst/>
          </c:spPr>
          <c:marker>
            <c:symbol val="none"/>
          </c:marker>
          <c:cat>
            <c:numRef>
              <c:f>'Bill Impact'!$C$11:$M$11</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Impact'!$C$28:$M$28</c:f>
              <c:numCache>
                <c:formatCode>_("$"* #,##0.00_);_("$"* \(#,##0.00\);_("$"* "-"??_);_(@_)</c:formatCode>
                <c:ptCount val="11"/>
                <c:pt idx="0">
                  <c:v>1.0805506669964786</c:v>
                </c:pt>
                <c:pt idx="1">
                  <c:v>9.6336760809767057</c:v>
                </c:pt>
                <c:pt idx="2">
                  <c:v>18.488535028419562</c:v>
                </c:pt>
                <c:pt idx="3">
                  <c:v>16.960448224505601</c:v>
                </c:pt>
                <c:pt idx="4">
                  <c:v>29.655387383446747</c:v>
                </c:pt>
                <c:pt idx="5">
                  <c:v>39.252177417809285</c:v>
                </c:pt>
                <c:pt idx="6">
                  <c:v>42.495923587031797</c:v>
                </c:pt>
                <c:pt idx="7">
                  <c:v>47.459853074747826</c:v>
                </c:pt>
                <c:pt idx="8">
                  <c:v>53.938969938093521</c:v>
                </c:pt>
                <c:pt idx="9">
                  <c:v>60.196142622667942</c:v>
                </c:pt>
                <c:pt idx="10">
                  <c:v>66.968498773821935</c:v>
                </c:pt>
              </c:numCache>
            </c:numRef>
          </c:val>
          <c:smooth val="0"/>
          <c:extLst xmlns:c15="http://schemas.microsoft.com/office/drawing/2012/chart">
            <c:ext xmlns:c16="http://schemas.microsoft.com/office/drawing/2014/chart" uri="{C3380CC4-5D6E-409C-BE32-E72D297353CC}">
              <c16:uniqueId val="{00000011-4BD4-4B45-974D-8BEBCAE3CFF0}"/>
            </c:ext>
          </c:extLst>
        </c:ser>
        <c:ser>
          <c:idx val="15"/>
          <c:order val="15"/>
          <c:tx>
            <c:strRef>
              <c:f>'Bill Impact'!$B$13</c:f>
              <c:strCache>
                <c:ptCount val="1"/>
                <c:pt idx="0">
                  <c:v>2 (Reference - BAU)</c:v>
                </c:pt>
              </c:strCache>
            </c:strRef>
          </c:tx>
          <c:spPr>
            <a:ln w="28575" cap="rnd">
              <a:solidFill>
                <a:schemeClr val="accent2"/>
              </a:solidFill>
              <a:round/>
            </a:ln>
            <a:effectLst/>
          </c:spPr>
          <c:marker>
            <c:symbol val="none"/>
          </c:marker>
          <c:cat>
            <c:numRef>
              <c:f>'Bill Impact'!$C$11:$M$11</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Impact'!$C$13:$M$13</c:f>
              <c:numCache>
                <c:formatCode>_("$"* #,##0.00_);_("$"* \(#,##0.00\);_("$"* "-"??_);_(@_)</c:formatCode>
                <c:ptCount val="11"/>
                <c:pt idx="0">
                  <c:v>3.3667081050712317</c:v>
                </c:pt>
                <c:pt idx="1">
                  <c:v>10.737705223731577</c:v>
                </c:pt>
                <c:pt idx="2">
                  <c:v>19.295205731978218</c:v>
                </c:pt>
                <c:pt idx="3">
                  <c:v>16.499641345175611</c:v>
                </c:pt>
                <c:pt idx="4">
                  <c:v>27.630681632657517</c:v>
                </c:pt>
                <c:pt idx="5">
                  <c:v>30.940041942871641</c:v>
                </c:pt>
                <c:pt idx="6">
                  <c:v>35.391852894923062</c:v>
                </c:pt>
                <c:pt idx="7">
                  <c:v>37.162167307996022</c:v>
                </c:pt>
                <c:pt idx="8">
                  <c:v>42.647053600140651</c:v>
                </c:pt>
                <c:pt idx="9">
                  <c:v>47.678848554112001</c:v>
                </c:pt>
                <c:pt idx="10">
                  <c:v>67.093149287412885</c:v>
                </c:pt>
              </c:numCache>
            </c:numRef>
          </c:val>
          <c:smooth val="0"/>
          <c:extLst>
            <c:ext xmlns:c16="http://schemas.microsoft.com/office/drawing/2014/chart" uri="{C3380CC4-5D6E-409C-BE32-E72D297353CC}">
              <c16:uniqueId val="{00000000-4BD4-4B45-974D-8BEBCAE3CFF0}"/>
            </c:ext>
          </c:extLst>
        </c:ser>
        <c:ser>
          <c:idx val="0"/>
          <c:order val="16"/>
          <c:tx>
            <c:strRef>
              <c:f>'Bill Impact'!$B$25</c:f>
              <c:strCache>
                <c:ptCount val="1"/>
                <c:pt idx="0">
                  <c:v>14</c:v>
                </c:pt>
              </c:strCache>
            </c:strRef>
          </c:tx>
          <c:spPr>
            <a:ln w="28575" cap="rnd">
              <a:solidFill>
                <a:schemeClr val="accent1"/>
              </a:solidFill>
              <a:round/>
            </a:ln>
            <a:effectLst/>
          </c:spPr>
          <c:marker>
            <c:symbol val="none"/>
          </c:marker>
          <c:cat>
            <c:numRef>
              <c:f>'Bill Impact'!$C$11:$M$11</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Impact'!$C$25:$M$25</c:f>
              <c:numCache>
                <c:formatCode>_("$"* #,##0.00_);_("$"* \(#,##0.00\);_("$"* "-"??_);_(@_)</c:formatCode>
                <c:ptCount val="11"/>
                <c:pt idx="0">
                  <c:v>0.61</c:v>
                </c:pt>
                <c:pt idx="1">
                  <c:v>9.19</c:v>
                </c:pt>
                <c:pt idx="2">
                  <c:v>15.59</c:v>
                </c:pt>
                <c:pt idx="3">
                  <c:v>15.11</c:v>
                </c:pt>
                <c:pt idx="4">
                  <c:v>25.36</c:v>
                </c:pt>
                <c:pt idx="5">
                  <c:v>29.23</c:v>
                </c:pt>
                <c:pt idx="6">
                  <c:v>29.28</c:v>
                </c:pt>
                <c:pt idx="7">
                  <c:v>32.51</c:v>
                </c:pt>
                <c:pt idx="8">
                  <c:v>38.44</c:v>
                </c:pt>
                <c:pt idx="9">
                  <c:v>44.03</c:v>
                </c:pt>
                <c:pt idx="10">
                  <c:v>48.69</c:v>
                </c:pt>
              </c:numCache>
            </c:numRef>
          </c:val>
          <c:smooth val="0"/>
          <c:extLst xmlns:c15="http://schemas.microsoft.com/office/drawing/2012/chart">
            <c:ext xmlns:c16="http://schemas.microsoft.com/office/drawing/2014/chart" uri="{C3380CC4-5D6E-409C-BE32-E72D297353CC}">
              <c16:uniqueId val="{0000000E-4BD4-4B45-974D-8BEBCAE3CFF0}"/>
            </c:ext>
          </c:extLst>
        </c:ser>
        <c:ser>
          <c:idx val="13"/>
          <c:order val="17"/>
          <c:tx>
            <c:strRef>
              <c:f>'Bill Impact'!$B$29</c:f>
              <c:strCache>
                <c:ptCount val="1"/>
                <c:pt idx="0">
                  <c:v>2% Affordability</c:v>
                </c:pt>
              </c:strCache>
            </c:strRef>
          </c:tx>
          <c:spPr>
            <a:ln w="28575" cap="rnd">
              <a:solidFill>
                <a:schemeClr val="tx1"/>
              </a:solidFill>
              <a:prstDash val="dash"/>
              <a:round/>
            </a:ln>
            <a:effectLst/>
          </c:spPr>
          <c:marker>
            <c:symbol val="none"/>
          </c:marker>
          <c:cat>
            <c:numRef>
              <c:f>'Bill Impact'!$C$11:$M$11</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Impact'!$C$29:$M$29</c:f>
              <c:numCache>
                <c:formatCode>_("$"* #,##0.00_);_("$"* \(#,##0.00\);_("$"* "-"??_);_(@_)</c:formatCode>
                <c:ptCount val="11"/>
                <c:pt idx="0">
                  <c:v>15.073005679737044</c:v>
                </c:pt>
                <c:pt idx="1">
                  <c:v>17.19766579333178</c:v>
                </c:pt>
                <c:pt idx="2">
                  <c:v>19.364819109198422</c:v>
                </c:pt>
                <c:pt idx="3">
                  <c:v>21.575315491382369</c:v>
                </c:pt>
                <c:pt idx="4">
                  <c:v>23.830021801210027</c:v>
                </c:pt>
                <c:pt idx="5">
                  <c:v>26.129822237234244</c:v>
                </c:pt>
                <c:pt idx="6">
                  <c:v>28.475618681978901</c:v>
                </c:pt>
                <c:pt idx="7">
                  <c:v>30.868331055618484</c:v>
                </c:pt>
                <c:pt idx="8">
                  <c:v>33.308897676730851</c:v>
                </c:pt>
                <c:pt idx="9">
                  <c:v>35.798275630265472</c:v>
                </c:pt>
                <c:pt idx="10">
                  <c:v>38.337441142870802</c:v>
                </c:pt>
              </c:numCache>
            </c:numRef>
          </c:val>
          <c:smooth val="0"/>
          <c:extLst>
            <c:ext xmlns:c16="http://schemas.microsoft.com/office/drawing/2014/chart" uri="{C3380CC4-5D6E-409C-BE32-E72D297353CC}">
              <c16:uniqueId val="{00000005-4BD4-4B45-974D-8BEBCAE3CFF0}"/>
            </c:ext>
          </c:extLst>
        </c:ser>
        <c:dLbls>
          <c:showLegendKey val="0"/>
          <c:showVal val="0"/>
          <c:showCatName val="0"/>
          <c:showSerName val="0"/>
          <c:showPercent val="0"/>
          <c:showBubbleSize val="0"/>
        </c:dLbls>
        <c:smooth val="0"/>
        <c:axId val="1527646399"/>
        <c:axId val="1527647839"/>
        <c:extLst>
          <c:ext xmlns:c15="http://schemas.microsoft.com/office/drawing/2012/chart" uri="{02D57815-91ED-43cb-92C2-25804820EDAC}">
            <c15:filteredLineSeries>
              <c15:ser>
                <c:idx val="12"/>
                <c:order val="0"/>
                <c:tx>
                  <c:strRef>
                    <c:extLst>
                      <c:ext uri="{02D57815-91ED-43cb-92C2-25804820EDAC}">
                        <c15:formulaRef>
                          <c15:sqref>'Bill Impact'!$B$12</c15:sqref>
                        </c15:formulaRef>
                      </c:ext>
                    </c:extLst>
                    <c:strCache>
                      <c:ptCount val="1"/>
                      <c:pt idx="0">
                        <c:v>1</c:v>
                      </c:pt>
                    </c:strCache>
                  </c:strRef>
                </c:tx>
                <c:spPr>
                  <a:ln w="28575" cap="rnd">
                    <a:solidFill>
                      <a:schemeClr val="accent1">
                        <a:lumMod val="80000"/>
                        <a:lumOff val="20000"/>
                      </a:schemeClr>
                    </a:solidFill>
                    <a:round/>
                  </a:ln>
                  <a:effectLst/>
                </c:spPr>
                <c:marker>
                  <c:symbol val="none"/>
                </c:marker>
                <c:cat>
                  <c:numRef>
                    <c:extLst>
                      <c:ext uri="{02D57815-91ED-43cb-92C2-25804820EDAC}">
                        <c15:formulaRef>
                          <c15:sqref>'Bill Impact'!$C$11:$M$11</c15:sqref>
                        </c15:formulaRef>
                      </c:ext>
                    </c:extLst>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extLst>
                      <c:ext uri="{02D57815-91ED-43cb-92C2-25804820EDAC}">
                        <c15:formulaRef>
                          <c15:sqref>'Bill Impact'!$C$12:$M$12</c15:sqref>
                        </c15:formulaRef>
                      </c:ext>
                    </c:extLst>
                    <c:numCache>
                      <c:formatCode>_("$"* #,##0.00_);_("$"* \(#,##0.00\);_("$"* "-"??_);_(@_)</c:formatCode>
                      <c:ptCount val="11"/>
                      <c:pt idx="0">
                        <c:v>-2.1160684167870247</c:v>
                      </c:pt>
                      <c:pt idx="1">
                        <c:v>2.0756235620203891</c:v>
                      </c:pt>
                      <c:pt idx="2">
                        <c:v>9.047554648137222</c:v>
                      </c:pt>
                      <c:pt idx="3">
                        <c:v>7.205831045931288</c:v>
                      </c:pt>
                      <c:pt idx="4">
                        <c:v>17.27375870356893</c:v>
                      </c:pt>
                      <c:pt idx="5">
                        <c:v>20.640817330511158</c:v>
                      </c:pt>
                      <c:pt idx="6">
                        <c:v>23.529320898500242</c:v>
                      </c:pt>
                      <c:pt idx="7">
                        <c:v>26.437945098124075</c:v>
                      </c:pt>
                      <c:pt idx="8">
                        <c:v>31.773693314853393</c:v>
                      </c:pt>
                      <c:pt idx="9">
                        <c:v>33.410484445392306</c:v>
                      </c:pt>
                      <c:pt idx="10">
                        <c:v>38.354317018620179</c:v>
                      </c:pt>
                    </c:numCache>
                  </c:numRef>
                </c:val>
                <c:smooth val="0"/>
                <c:extLst>
                  <c:ext xmlns:c16="http://schemas.microsoft.com/office/drawing/2014/chart" uri="{C3380CC4-5D6E-409C-BE32-E72D297353CC}">
                    <c16:uniqueId val="{00000006-4BD4-4B45-974D-8BEBCAE3CFF0}"/>
                  </c:ext>
                </c:extLst>
              </c15:ser>
            </c15:filteredLineSeries>
            <c15:filteredLineSeries>
              <c15:ser>
                <c:idx val="11"/>
                <c:order val="1"/>
                <c:tx>
                  <c:strRef>
                    <c:extLst xmlns:c15="http://schemas.microsoft.com/office/drawing/2012/chart">
                      <c:ext xmlns:c15="http://schemas.microsoft.com/office/drawing/2012/chart" uri="{02D57815-91ED-43cb-92C2-25804820EDAC}">
                        <c15:formulaRef>
                          <c15:sqref>'Bill Impact'!$B$14</c15:sqref>
                        </c15:formulaRef>
                      </c:ext>
                    </c:extLst>
                    <c:strCache>
                      <c:ptCount val="1"/>
                      <c:pt idx="0">
                        <c:v>3</c:v>
                      </c:pt>
                    </c:strCache>
                  </c:strRef>
                </c:tx>
                <c:spPr>
                  <a:ln w="28575" cap="rnd">
                    <a:solidFill>
                      <a:schemeClr val="accent6">
                        <a:lumMod val="60000"/>
                      </a:schemeClr>
                    </a:solidFill>
                    <a:round/>
                  </a:ln>
                  <a:effectLst/>
                </c:spPr>
                <c:marker>
                  <c:symbol val="none"/>
                </c:marker>
                <c:cat>
                  <c:numRef>
                    <c:extLst xmlns:c15="http://schemas.microsoft.com/office/drawing/2012/chart">
                      <c:ext xmlns:c15="http://schemas.microsoft.com/office/drawing/2012/chart" uri="{02D57815-91ED-43cb-92C2-25804820EDAC}">
                        <c15:formulaRef>
                          <c15:sqref>'Bill Impact'!$C$11:$M$11</c15:sqref>
                        </c15:formulaRef>
                      </c:ext>
                    </c:extLst>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extLst xmlns:c15="http://schemas.microsoft.com/office/drawing/2012/chart">
                      <c:ext xmlns:c15="http://schemas.microsoft.com/office/drawing/2012/chart" uri="{02D57815-91ED-43cb-92C2-25804820EDAC}">
                        <c15:formulaRef>
                          <c15:sqref>'Bill Impact'!$C$14:$M$14</c15:sqref>
                        </c15:formulaRef>
                      </c:ext>
                    </c:extLst>
                    <c:numCache>
                      <c:formatCode>_("$"* #,##0.00_);_("$"* \(#,##0.00\);_("$"* "-"??_);_(@_)</c:formatCode>
                      <c:ptCount val="11"/>
                      <c:pt idx="0">
                        <c:v>-2.212636646175278</c:v>
                      </c:pt>
                      <c:pt idx="1">
                        <c:v>2.8425268512066197</c:v>
                      </c:pt>
                      <c:pt idx="2">
                        <c:v>6.9019425234079153</c:v>
                      </c:pt>
                      <c:pt idx="3">
                        <c:v>3.7112719124454019</c:v>
                      </c:pt>
                      <c:pt idx="4">
                        <c:v>8.5317445113236676</c:v>
                      </c:pt>
                      <c:pt idx="5">
                        <c:v>11.428992273377217</c:v>
                      </c:pt>
                      <c:pt idx="6">
                        <c:v>15.157399433355563</c:v>
                      </c:pt>
                      <c:pt idx="7">
                        <c:v>17.730327406410606</c:v>
                      </c:pt>
                      <c:pt idx="8">
                        <c:v>24.155022050453539</c:v>
                      </c:pt>
                      <c:pt idx="9">
                        <c:v>27.511098830371928</c:v>
                      </c:pt>
                      <c:pt idx="10">
                        <c:v>32.636479725000271</c:v>
                      </c:pt>
                    </c:numCache>
                  </c:numRef>
                </c:val>
                <c:smooth val="0"/>
                <c:extLst xmlns:c15="http://schemas.microsoft.com/office/drawing/2012/chart">
                  <c:ext xmlns:c16="http://schemas.microsoft.com/office/drawing/2014/chart" uri="{C3380CC4-5D6E-409C-BE32-E72D297353CC}">
                    <c16:uniqueId val="{00000007-4BD4-4B45-974D-8BEBCAE3CFF0}"/>
                  </c:ext>
                </c:extLst>
              </c15:ser>
            </c15:filteredLineSeries>
            <c15:filteredLineSeries>
              <c15:ser>
                <c:idx val="16"/>
                <c:order val="2"/>
                <c:tx>
                  <c:strRef>
                    <c:extLst xmlns:c15="http://schemas.microsoft.com/office/drawing/2012/chart">
                      <c:ext xmlns:c15="http://schemas.microsoft.com/office/drawing/2012/chart" uri="{02D57815-91ED-43cb-92C2-25804820EDAC}">
                        <c15:formulaRef>
                          <c15:sqref>'Bill Impact'!$B$15</c15:sqref>
                        </c15:formulaRef>
                      </c:ext>
                    </c:extLst>
                    <c:strCache>
                      <c:ptCount val="1"/>
                      <c:pt idx="0">
                        <c:v>4</c:v>
                      </c:pt>
                    </c:strCache>
                  </c:strRef>
                </c:tx>
                <c:spPr>
                  <a:ln w="28575" cap="rnd">
                    <a:solidFill>
                      <a:schemeClr val="accent5">
                        <a:lumMod val="80000"/>
                        <a:lumOff val="20000"/>
                      </a:schemeClr>
                    </a:solidFill>
                    <a:round/>
                  </a:ln>
                  <a:effectLst/>
                </c:spPr>
                <c:marker>
                  <c:symbol val="none"/>
                </c:marker>
                <c:cat>
                  <c:numRef>
                    <c:extLst xmlns:c15="http://schemas.microsoft.com/office/drawing/2012/chart">
                      <c:ext xmlns:c15="http://schemas.microsoft.com/office/drawing/2012/chart" uri="{02D57815-91ED-43cb-92C2-25804820EDAC}">
                        <c15:formulaRef>
                          <c15:sqref>'Bill Impact'!$C$11:$M$11</c15:sqref>
                        </c15:formulaRef>
                      </c:ext>
                    </c:extLst>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extLst xmlns:c15="http://schemas.microsoft.com/office/drawing/2012/chart">
                      <c:ext xmlns:c15="http://schemas.microsoft.com/office/drawing/2012/chart" uri="{02D57815-91ED-43cb-92C2-25804820EDAC}">
                        <c15:formulaRef>
                          <c15:sqref>'Bill Impact'!$C$15:$M$15</c15:sqref>
                        </c15:formulaRef>
                      </c:ext>
                    </c:extLst>
                    <c:numCache>
                      <c:formatCode>_("$"* #,##0.00_);_("$"* \(#,##0.00\);_("$"* "-"??_);_(@_)</c:formatCode>
                      <c:ptCount val="11"/>
                      <c:pt idx="0">
                        <c:v>-2.633</c:v>
                      </c:pt>
                      <c:pt idx="1">
                        <c:v>1.141</c:v>
                      </c:pt>
                      <c:pt idx="2">
                        <c:v>3.1890000000000001</c:v>
                      </c:pt>
                      <c:pt idx="3">
                        <c:v>1.946</c:v>
                      </c:pt>
                      <c:pt idx="4">
                        <c:v>6.1909999999999998</c:v>
                      </c:pt>
                      <c:pt idx="5">
                        <c:v>7.4409999999999998</c:v>
                      </c:pt>
                      <c:pt idx="6">
                        <c:v>8.8930000000000007</c:v>
                      </c:pt>
                      <c:pt idx="7">
                        <c:v>11.257999999999999</c:v>
                      </c:pt>
                      <c:pt idx="8">
                        <c:v>14.243</c:v>
                      </c:pt>
                      <c:pt idx="9">
                        <c:v>16.888999999999999</c:v>
                      </c:pt>
                      <c:pt idx="10">
                        <c:v>20.611000000000001</c:v>
                      </c:pt>
                    </c:numCache>
                  </c:numRef>
                </c:val>
                <c:smooth val="0"/>
                <c:extLst xmlns:c15="http://schemas.microsoft.com/office/drawing/2012/chart">
                  <c:ext xmlns:c16="http://schemas.microsoft.com/office/drawing/2014/chart" uri="{C3380CC4-5D6E-409C-BE32-E72D297353CC}">
                    <c16:uniqueId val="{00000001-4BD4-4B45-974D-8BEBCAE3CFF0}"/>
                  </c:ext>
                </c:extLst>
              </c15:ser>
            </c15:filteredLineSeries>
            <c15:filteredLineSeries>
              <c15:ser>
                <c:idx val="6"/>
                <c:order val="3"/>
                <c:tx>
                  <c:strRef>
                    <c:extLst xmlns:c15="http://schemas.microsoft.com/office/drawing/2012/chart">
                      <c:ext xmlns:c15="http://schemas.microsoft.com/office/drawing/2012/chart" uri="{02D57815-91ED-43cb-92C2-25804820EDAC}">
                        <c15:formulaRef>
                          <c15:sqref>'Bill Impact'!$B$16</c15:sqref>
                        </c15:formulaRef>
                      </c:ext>
                    </c:extLst>
                    <c:strCache>
                      <c:ptCount val="1"/>
                      <c:pt idx="0">
                        <c:v>5</c:v>
                      </c:pt>
                    </c:strCache>
                  </c:strRef>
                </c:tx>
                <c:spPr>
                  <a:ln w="28575" cap="rnd">
                    <a:solidFill>
                      <a:schemeClr val="accent1">
                        <a:lumMod val="60000"/>
                      </a:schemeClr>
                    </a:solidFill>
                    <a:round/>
                  </a:ln>
                  <a:effectLst/>
                </c:spPr>
                <c:marker>
                  <c:symbol val="none"/>
                </c:marker>
                <c:cat>
                  <c:numRef>
                    <c:extLst xmlns:c15="http://schemas.microsoft.com/office/drawing/2012/chart">
                      <c:ext xmlns:c15="http://schemas.microsoft.com/office/drawing/2012/chart" uri="{02D57815-91ED-43cb-92C2-25804820EDAC}">
                        <c15:formulaRef>
                          <c15:sqref>'Bill Impact'!$C$11:$M$11</c15:sqref>
                        </c15:formulaRef>
                      </c:ext>
                    </c:extLst>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extLst xmlns:c15="http://schemas.microsoft.com/office/drawing/2012/chart">
                      <c:ext xmlns:c15="http://schemas.microsoft.com/office/drawing/2012/chart" uri="{02D57815-91ED-43cb-92C2-25804820EDAC}">
                        <c15:formulaRef>
                          <c15:sqref>'Bill Impact'!$C$16:$M$16</c15:sqref>
                        </c15:formulaRef>
                      </c:ext>
                    </c:extLst>
                    <c:numCache>
                      <c:formatCode>_("$"* #,##0.00_);_("$"* \(#,##0.00\);_("$"* "-"??_);_(@_)</c:formatCode>
                      <c:ptCount val="11"/>
                      <c:pt idx="0">
                        <c:v>3.4380768373243615</c:v>
                      </c:pt>
                      <c:pt idx="1">
                        <c:v>11.136768623208892</c:v>
                      </c:pt>
                      <c:pt idx="2">
                        <c:v>19.141983127245382</c:v>
                      </c:pt>
                      <c:pt idx="3">
                        <c:v>17.985109291898731</c:v>
                      </c:pt>
                      <c:pt idx="4">
                        <c:v>27.836911261728162</c:v>
                      </c:pt>
                      <c:pt idx="5">
                        <c:v>33.941348285757641</c:v>
                      </c:pt>
                      <c:pt idx="6">
                        <c:v>36.877222260853415</c:v>
                      </c:pt>
                      <c:pt idx="7">
                        <c:v>38.764356882945016</c:v>
                      </c:pt>
                      <c:pt idx="8">
                        <c:v>44.71145323232993</c:v>
                      </c:pt>
                      <c:pt idx="9">
                        <c:v>49.718037525872006</c:v>
                      </c:pt>
                      <c:pt idx="10">
                        <c:v>68.302215704094763</c:v>
                      </c:pt>
                    </c:numCache>
                  </c:numRef>
                </c:val>
                <c:smooth val="0"/>
                <c:extLst xmlns:c15="http://schemas.microsoft.com/office/drawing/2012/chart">
                  <c:ext xmlns:c16="http://schemas.microsoft.com/office/drawing/2014/chart" uri="{C3380CC4-5D6E-409C-BE32-E72D297353CC}">
                    <c16:uniqueId val="{00000008-4BD4-4B45-974D-8BEBCAE3CFF0}"/>
                  </c:ext>
                </c:extLst>
              </c15:ser>
            </c15:filteredLineSeries>
            <c15:filteredLineSeries>
              <c15:ser>
                <c:idx val="4"/>
                <c:order val="4"/>
                <c:tx>
                  <c:strRef>
                    <c:extLst xmlns:c15="http://schemas.microsoft.com/office/drawing/2012/chart">
                      <c:ext xmlns:c15="http://schemas.microsoft.com/office/drawing/2012/chart" uri="{02D57815-91ED-43cb-92C2-25804820EDAC}">
                        <c15:formulaRef>
                          <c15:sqref>'Bill Impact'!$B$17</c15:sqref>
                        </c15:formulaRef>
                      </c:ext>
                    </c:extLst>
                    <c:strCache>
                      <c:ptCount val="1"/>
                      <c:pt idx="0">
                        <c:v>6</c:v>
                      </c:pt>
                    </c:strCache>
                  </c:strRef>
                </c:tx>
                <c:spPr>
                  <a:ln w="28575" cap="rnd">
                    <a:solidFill>
                      <a:schemeClr val="accent5"/>
                    </a:solidFill>
                    <a:round/>
                  </a:ln>
                  <a:effectLst/>
                </c:spPr>
                <c:marker>
                  <c:symbol val="none"/>
                </c:marker>
                <c:cat>
                  <c:numRef>
                    <c:extLst xmlns:c15="http://schemas.microsoft.com/office/drawing/2012/chart">
                      <c:ext xmlns:c15="http://schemas.microsoft.com/office/drawing/2012/chart" uri="{02D57815-91ED-43cb-92C2-25804820EDAC}">
                        <c15:formulaRef>
                          <c15:sqref>'Bill Impact'!$C$11:$M$11</c15:sqref>
                        </c15:formulaRef>
                      </c:ext>
                    </c:extLst>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extLst xmlns:c15="http://schemas.microsoft.com/office/drawing/2012/chart">
                      <c:ext xmlns:c15="http://schemas.microsoft.com/office/drawing/2012/chart" uri="{02D57815-91ED-43cb-92C2-25804820EDAC}">
                        <c15:formulaRef>
                          <c15:sqref>'Bill Impact'!$C$17:$M$17</c15:sqref>
                        </c15:formulaRef>
                      </c:ext>
                    </c:extLst>
                    <c:numCache>
                      <c:formatCode>_("$"* #,##0.00_);_("$"* \(#,##0.00\);_("$"* "-"??_);_(@_)</c:formatCode>
                      <c:ptCount val="11"/>
                      <c:pt idx="0">
                        <c:v>3.8538239904354601</c:v>
                      </c:pt>
                      <c:pt idx="1">
                        <c:v>9.9183496283872579</c:v>
                      </c:pt>
                      <c:pt idx="2">
                        <c:v>17.926749534718233</c:v>
                      </c:pt>
                      <c:pt idx="3">
                        <c:v>15.907372863815754</c:v>
                      </c:pt>
                      <c:pt idx="4">
                        <c:v>27.628041044719581</c:v>
                      </c:pt>
                      <c:pt idx="5">
                        <c:v>31.920029657530126</c:v>
                      </c:pt>
                      <c:pt idx="6">
                        <c:v>35.742304456735063</c:v>
                      </c:pt>
                      <c:pt idx="7">
                        <c:v>38.691371767410466</c:v>
                      </c:pt>
                      <c:pt idx="8">
                        <c:v>46.033957015775393</c:v>
                      </c:pt>
                      <c:pt idx="9">
                        <c:v>49.766384370375626</c:v>
                      </c:pt>
                      <c:pt idx="10">
                        <c:v>68.116987862990243</c:v>
                      </c:pt>
                    </c:numCache>
                  </c:numRef>
                </c:val>
                <c:smooth val="0"/>
                <c:extLst xmlns:c15="http://schemas.microsoft.com/office/drawing/2012/chart">
                  <c:ext xmlns:c16="http://schemas.microsoft.com/office/drawing/2014/chart" uri="{C3380CC4-5D6E-409C-BE32-E72D297353CC}">
                    <c16:uniqueId val="{00000009-4BD4-4B45-974D-8BEBCAE3CFF0}"/>
                  </c:ext>
                </c:extLst>
              </c15:ser>
            </c15:filteredLineSeries>
            <c15:filteredLineSeries>
              <c15:ser>
                <c:idx val="5"/>
                <c:order val="5"/>
                <c:tx>
                  <c:strRef>
                    <c:extLst xmlns:c15="http://schemas.microsoft.com/office/drawing/2012/chart">
                      <c:ext xmlns:c15="http://schemas.microsoft.com/office/drawing/2012/chart" uri="{02D57815-91ED-43cb-92C2-25804820EDAC}">
                        <c15:formulaRef>
                          <c15:sqref>'Bill Impact'!$B$18</c15:sqref>
                        </c15:formulaRef>
                      </c:ext>
                    </c:extLst>
                    <c:strCache>
                      <c:ptCount val="1"/>
                      <c:pt idx="0">
                        <c:v>7</c:v>
                      </c:pt>
                    </c:strCache>
                  </c:strRef>
                </c:tx>
                <c:spPr>
                  <a:ln w="28575" cap="rnd">
                    <a:solidFill>
                      <a:schemeClr val="accent6"/>
                    </a:solidFill>
                    <a:round/>
                  </a:ln>
                  <a:effectLst/>
                </c:spPr>
                <c:marker>
                  <c:symbol val="none"/>
                </c:marker>
                <c:cat>
                  <c:numRef>
                    <c:extLst xmlns:c15="http://schemas.microsoft.com/office/drawing/2012/chart">
                      <c:ext xmlns:c15="http://schemas.microsoft.com/office/drawing/2012/chart" uri="{02D57815-91ED-43cb-92C2-25804820EDAC}">
                        <c15:formulaRef>
                          <c15:sqref>'Bill Impact'!$C$11:$M$11</c15:sqref>
                        </c15:formulaRef>
                      </c:ext>
                    </c:extLst>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extLst xmlns:c15="http://schemas.microsoft.com/office/drawing/2012/chart">
                      <c:ext xmlns:c15="http://schemas.microsoft.com/office/drawing/2012/chart" uri="{02D57815-91ED-43cb-92C2-25804820EDAC}">
                        <c15:formulaRef>
                          <c15:sqref>'Bill Impact'!$C$18:$M$18</c15:sqref>
                        </c15:formulaRef>
                      </c:ext>
                    </c:extLst>
                    <c:numCache>
                      <c:formatCode>_("$"* #,##0.00_);_("$"* \(#,##0.00\);_("$"* "-"??_);_(@_)</c:formatCode>
                      <c:ptCount val="11"/>
                      <c:pt idx="0">
                        <c:v>3.5295462363189931</c:v>
                      </c:pt>
                      <c:pt idx="1">
                        <c:v>10.178951894262619</c:v>
                      </c:pt>
                      <c:pt idx="2">
                        <c:v>19.161217840894377</c:v>
                      </c:pt>
                      <c:pt idx="3">
                        <c:v>17.711807658832658</c:v>
                      </c:pt>
                      <c:pt idx="4">
                        <c:v>29.000966516343563</c:v>
                      </c:pt>
                      <c:pt idx="5">
                        <c:v>32.694380212685488</c:v>
                      </c:pt>
                      <c:pt idx="6">
                        <c:v>35.657693512968905</c:v>
                      </c:pt>
                      <c:pt idx="7">
                        <c:v>39.705372745273976</c:v>
                      </c:pt>
                      <c:pt idx="8">
                        <c:v>45.277606731036585</c:v>
                      </c:pt>
                      <c:pt idx="9">
                        <c:v>48.091687932962508</c:v>
                      </c:pt>
                      <c:pt idx="10">
                        <c:v>69.339314660092072</c:v>
                      </c:pt>
                    </c:numCache>
                  </c:numRef>
                </c:val>
                <c:smooth val="0"/>
                <c:extLst xmlns:c15="http://schemas.microsoft.com/office/drawing/2012/chart">
                  <c:ext xmlns:c16="http://schemas.microsoft.com/office/drawing/2014/chart" uri="{C3380CC4-5D6E-409C-BE32-E72D297353CC}">
                    <c16:uniqueId val="{0000000A-4BD4-4B45-974D-8BEBCAE3CFF0}"/>
                  </c:ext>
                </c:extLst>
              </c15:ser>
            </c15:filteredLineSeries>
            <c15:filteredLineSeries>
              <c15:ser>
                <c:idx val="17"/>
                <c:order val="6"/>
                <c:tx>
                  <c:strRef>
                    <c:extLst xmlns:c15="http://schemas.microsoft.com/office/drawing/2012/chart">
                      <c:ext xmlns:c15="http://schemas.microsoft.com/office/drawing/2012/chart" uri="{02D57815-91ED-43cb-92C2-25804820EDAC}">
                        <c15:formulaRef>
                          <c15:sqref>'Bill Impact'!$B$19</c15:sqref>
                        </c15:formulaRef>
                      </c:ext>
                    </c:extLst>
                    <c:strCache>
                      <c:ptCount val="1"/>
                      <c:pt idx="0">
                        <c:v>8</c:v>
                      </c:pt>
                    </c:strCache>
                  </c:strRef>
                </c:tx>
                <c:spPr>
                  <a:ln w="28575" cap="rnd">
                    <a:solidFill>
                      <a:schemeClr val="accent6">
                        <a:lumMod val="80000"/>
                        <a:lumOff val="20000"/>
                      </a:schemeClr>
                    </a:solidFill>
                    <a:round/>
                  </a:ln>
                  <a:effectLst/>
                </c:spPr>
                <c:marker>
                  <c:symbol val="none"/>
                </c:marker>
                <c:cat>
                  <c:numRef>
                    <c:extLst xmlns:c15="http://schemas.microsoft.com/office/drawing/2012/chart">
                      <c:ext xmlns:c15="http://schemas.microsoft.com/office/drawing/2012/chart" uri="{02D57815-91ED-43cb-92C2-25804820EDAC}">
                        <c15:formulaRef>
                          <c15:sqref>'Bill Impact'!$C$11:$M$11</c15:sqref>
                        </c15:formulaRef>
                      </c:ext>
                    </c:extLst>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extLst xmlns:c15="http://schemas.microsoft.com/office/drawing/2012/chart">
                      <c:ext xmlns:c15="http://schemas.microsoft.com/office/drawing/2012/chart" uri="{02D57815-91ED-43cb-92C2-25804820EDAC}">
                        <c15:formulaRef>
                          <c15:sqref>'Bill Impact'!$C$19:$M$19</c15:sqref>
                        </c15:formulaRef>
                      </c:ext>
                    </c:extLst>
                    <c:numCache>
                      <c:formatCode>_("$"* #,##0.00_);_("$"* \(#,##0.00\);_("$"* "-"??_);_(@_)</c:formatCode>
                      <c:ptCount val="11"/>
                      <c:pt idx="0">
                        <c:v>3.2008925097627645</c:v>
                      </c:pt>
                      <c:pt idx="1">
                        <c:v>10.667644847349738</c:v>
                      </c:pt>
                      <c:pt idx="2">
                        <c:v>17.646907864629807</c:v>
                      </c:pt>
                      <c:pt idx="3">
                        <c:v>17.296588908608072</c:v>
                      </c:pt>
                      <c:pt idx="4">
                        <c:v>27.535563231522879</c:v>
                      </c:pt>
                      <c:pt idx="5">
                        <c:v>25.788768646944636</c:v>
                      </c:pt>
                      <c:pt idx="6">
                        <c:v>24.790623742922765</c:v>
                      </c:pt>
                      <c:pt idx="7">
                        <c:v>25.660891067788466</c:v>
                      </c:pt>
                      <c:pt idx="8">
                        <c:v>28.524272221511445</c:v>
                      </c:pt>
                      <c:pt idx="9">
                        <c:v>33.262977129834042</c:v>
                      </c:pt>
                      <c:pt idx="10">
                        <c:v>43.127816932428502</c:v>
                      </c:pt>
                    </c:numCache>
                  </c:numRef>
                </c:val>
                <c:smooth val="0"/>
                <c:extLst xmlns:c15="http://schemas.microsoft.com/office/drawing/2012/chart">
                  <c:ext xmlns:c16="http://schemas.microsoft.com/office/drawing/2014/chart" uri="{C3380CC4-5D6E-409C-BE32-E72D297353CC}">
                    <c16:uniqueId val="{00000002-4BD4-4B45-974D-8BEBCAE3CFF0}"/>
                  </c:ext>
                </c:extLst>
              </c15:ser>
            </c15:filteredLineSeries>
            <c15:filteredLineSeries>
              <c15:ser>
                <c:idx val="1"/>
                <c:order val="7"/>
                <c:tx>
                  <c:strRef>
                    <c:extLst xmlns:c15="http://schemas.microsoft.com/office/drawing/2012/chart">
                      <c:ext xmlns:c15="http://schemas.microsoft.com/office/drawing/2012/chart" uri="{02D57815-91ED-43cb-92C2-25804820EDAC}">
                        <c15:formulaRef>
                          <c15:sqref>'Bill Impact'!$B$20</c15:sqref>
                        </c15:formulaRef>
                      </c:ext>
                    </c:extLst>
                    <c:strCache>
                      <c:ptCount val="1"/>
                      <c:pt idx="0">
                        <c:v>9</c:v>
                      </c:pt>
                    </c:strCache>
                  </c:strRef>
                </c:tx>
                <c:spPr>
                  <a:ln w="28575" cap="rnd">
                    <a:solidFill>
                      <a:schemeClr val="accent2"/>
                    </a:solidFill>
                    <a:round/>
                  </a:ln>
                  <a:effectLst/>
                </c:spPr>
                <c:marker>
                  <c:symbol val="none"/>
                </c:marker>
                <c:cat>
                  <c:numRef>
                    <c:extLst xmlns:c15="http://schemas.microsoft.com/office/drawing/2012/chart">
                      <c:ext xmlns:c15="http://schemas.microsoft.com/office/drawing/2012/chart" uri="{02D57815-91ED-43cb-92C2-25804820EDAC}">
                        <c15:formulaRef>
                          <c15:sqref>'Bill Impact'!$C$11:$M$11</c15:sqref>
                        </c15:formulaRef>
                      </c:ext>
                    </c:extLst>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extLst xmlns:c15="http://schemas.microsoft.com/office/drawing/2012/chart">
                      <c:ext xmlns:c15="http://schemas.microsoft.com/office/drawing/2012/chart" uri="{02D57815-91ED-43cb-92C2-25804820EDAC}">
                        <c15:formulaRef>
                          <c15:sqref>'Bill Impact'!$C$20:$M$20</c15:sqref>
                        </c15:formulaRef>
                      </c:ext>
                    </c:extLst>
                    <c:numCache>
                      <c:formatCode>_("$"* #,##0.00_);_("$"* \(#,##0.00\);_("$"* "-"??_);_(@_)</c:formatCode>
                      <c:ptCount val="11"/>
                      <c:pt idx="0">
                        <c:v>3.20090971936646</c:v>
                      </c:pt>
                      <c:pt idx="1">
                        <c:v>10.699926199628816</c:v>
                      </c:pt>
                      <c:pt idx="2">
                        <c:v>19.288867709470907</c:v>
                      </c:pt>
                      <c:pt idx="3">
                        <c:v>17.916392611262001</c:v>
                      </c:pt>
                      <c:pt idx="4">
                        <c:v>28.246710547826609</c:v>
                      </c:pt>
                      <c:pt idx="5">
                        <c:v>26.611644242160033</c:v>
                      </c:pt>
                      <c:pt idx="6">
                        <c:v>27.481786452061034</c:v>
                      </c:pt>
                      <c:pt idx="7">
                        <c:v>29.063551543752034</c:v>
                      </c:pt>
                      <c:pt idx="8">
                        <c:v>34.200973816611445</c:v>
                      </c:pt>
                      <c:pt idx="9">
                        <c:v>40.973271638071601</c:v>
                      </c:pt>
                      <c:pt idx="10">
                        <c:v>54.573978757348584</c:v>
                      </c:pt>
                    </c:numCache>
                  </c:numRef>
                </c:val>
                <c:smooth val="0"/>
                <c:extLst xmlns:c15="http://schemas.microsoft.com/office/drawing/2012/chart">
                  <c:ext xmlns:c16="http://schemas.microsoft.com/office/drawing/2014/chart" uri="{C3380CC4-5D6E-409C-BE32-E72D297353CC}">
                    <c16:uniqueId val="{00000003-4BD4-4B45-974D-8BEBCAE3CFF0}"/>
                  </c:ext>
                </c:extLst>
              </c15:ser>
            </c15:filteredLineSeries>
            <c15:filteredLineSeries>
              <c15:ser>
                <c:idx val="9"/>
                <c:order val="8"/>
                <c:tx>
                  <c:strRef>
                    <c:extLst xmlns:c15="http://schemas.microsoft.com/office/drawing/2012/chart">
                      <c:ext xmlns:c15="http://schemas.microsoft.com/office/drawing/2012/chart" uri="{02D57815-91ED-43cb-92C2-25804820EDAC}">
                        <c15:formulaRef>
                          <c15:sqref>'Bill Impact'!$B$21</c15:sqref>
                        </c15:formulaRef>
                      </c:ext>
                    </c:extLst>
                    <c:strCache>
                      <c:ptCount val="1"/>
                      <c:pt idx="0">
                        <c:v>10</c:v>
                      </c:pt>
                    </c:strCache>
                  </c:strRef>
                </c:tx>
                <c:spPr>
                  <a:ln w="28575" cap="rnd">
                    <a:solidFill>
                      <a:schemeClr val="accent4">
                        <a:lumMod val="60000"/>
                      </a:schemeClr>
                    </a:solidFill>
                    <a:round/>
                  </a:ln>
                  <a:effectLst/>
                </c:spPr>
                <c:marker>
                  <c:symbol val="none"/>
                </c:marker>
                <c:cat>
                  <c:numRef>
                    <c:extLst xmlns:c15="http://schemas.microsoft.com/office/drawing/2012/chart">
                      <c:ext xmlns:c15="http://schemas.microsoft.com/office/drawing/2012/chart" uri="{02D57815-91ED-43cb-92C2-25804820EDAC}">
                        <c15:formulaRef>
                          <c15:sqref>'Bill Impact'!$C$11:$M$11</c15:sqref>
                        </c15:formulaRef>
                      </c:ext>
                    </c:extLst>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extLst xmlns:c15="http://schemas.microsoft.com/office/drawing/2012/chart">
                      <c:ext xmlns:c15="http://schemas.microsoft.com/office/drawing/2012/chart" uri="{02D57815-91ED-43cb-92C2-25804820EDAC}">
                        <c15:formulaRef>
                          <c15:sqref>'Bill Impact'!$C$21:$M$21</c15:sqref>
                        </c15:formulaRef>
                      </c:ext>
                    </c:extLst>
                    <c:numCache>
                      <c:formatCode>_("$"* #,##0.00_);_("$"* \(#,##0.00\);_("$"* "-"??_);_(@_)</c:formatCode>
                      <c:ptCount val="11"/>
                      <c:pt idx="0">
                        <c:v>3.20090971936646</c:v>
                      </c:pt>
                      <c:pt idx="1">
                        <c:v>10.699926199628816</c:v>
                      </c:pt>
                      <c:pt idx="2">
                        <c:v>19.288867709470907</c:v>
                      </c:pt>
                      <c:pt idx="3">
                        <c:v>17.916392611262001</c:v>
                      </c:pt>
                      <c:pt idx="4">
                        <c:v>28.246710547826609</c:v>
                      </c:pt>
                      <c:pt idx="5">
                        <c:v>30.913183357218042</c:v>
                      </c:pt>
                      <c:pt idx="6">
                        <c:v>34.906936596014447</c:v>
                      </c:pt>
                      <c:pt idx="7">
                        <c:v>37.130711624440352</c:v>
                      </c:pt>
                      <c:pt idx="8">
                        <c:v>43.721294679152344</c:v>
                      </c:pt>
                      <c:pt idx="9">
                        <c:v>49.784916371025467</c:v>
                      </c:pt>
                      <c:pt idx="10">
                        <c:v>55.511823959363966</c:v>
                      </c:pt>
                    </c:numCache>
                  </c:numRef>
                </c:val>
                <c:smooth val="0"/>
                <c:extLst xmlns:c15="http://schemas.microsoft.com/office/drawing/2012/chart">
                  <c:ext xmlns:c16="http://schemas.microsoft.com/office/drawing/2014/chart" uri="{C3380CC4-5D6E-409C-BE32-E72D297353CC}">
                    <c16:uniqueId val="{0000000B-4BD4-4B45-974D-8BEBCAE3CFF0}"/>
                  </c:ext>
                </c:extLst>
              </c15:ser>
            </c15:filteredLineSeries>
            <c15:filteredLineSeries>
              <c15:ser>
                <c:idx val="8"/>
                <c:order val="9"/>
                <c:tx>
                  <c:strRef>
                    <c:extLst xmlns:c15="http://schemas.microsoft.com/office/drawing/2012/chart">
                      <c:ext xmlns:c15="http://schemas.microsoft.com/office/drawing/2012/chart" uri="{02D57815-91ED-43cb-92C2-25804820EDAC}">
                        <c15:formulaRef>
                          <c15:sqref>'Bill Impact'!$B$22</c15:sqref>
                        </c15:formulaRef>
                      </c:ext>
                    </c:extLst>
                    <c:strCache>
                      <c:ptCount val="1"/>
                      <c:pt idx="0">
                        <c:v>11</c:v>
                      </c:pt>
                    </c:strCache>
                  </c:strRef>
                </c:tx>
                <c:spPr>
                  <a:ln w="28575" cap="rnd">
                    <a:solidFill>
                      <a:schemeClr val="accent3">
                        <a:lumMod val="60000"/>
                      </a:schemeClr>
                    </a:solidFill>
                    <a:round/>
                  </a:ln>
                  <a:effectLst/>
                </c:spPr>
                <c:marker>
                  <c:symbol val="none"/>
                </c:marker>
                <c:cat>
                  <c:numRef>
                    <c:extLst xmlns:c15="http://schemas.microsoft.com/office/drawing/2012/chart">
                      <c:ext xmlns:c15="http://schemas.microsoft.com/office/drawing/2012/chart" uri="{02D57815-91ED-43cb-92C2-25804820EDAC}">
                        <c15:formulaRef>
                          <c15:sqref>'Bill Impact'!$C$11:$M$11</c15:sqref>
                        </c15:formulaRef>
                      </c:ext>
                    </c:extLst>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extLst xmlns:c15="http://schemas.microsoft.com/office/drawing/2012/chart">
                      <c:ext xmlns:c15="http://schemas.microsoft.com/office/drawing/2012/chart" uri="{02D57815-91ED-43cb-92C2-25804820EDAC}">
                        <c15:formulaRef>
                          <c15:sqref>'Bill Impact'!$C$22:$M$22</c15:sqref>
                        </c15:formulaRef>
                      </c:ext>
                    </c:extLst>
                    <c:numCache>
                      <c:formatCode>_("$"* #,##0.00_);_("$"* \(#,##0.00\);_("$"* "-"??_);_(@_)</c:formatCode>
                      <c:ptCount val="11"/>
                      <c:pt idx="0">
                        <c:v>2.448205997266379</c:v>
                      </c:pt>
                      <c:pt idx="1">
                        <c:v>9.4044871175180571</c:v>
                      </c:pt>
                      <c:pt idx="2">
                        <c:v>9.9550235347193201</c:v>
                      </c:pt>
                      <c:pt idx="3">
                        <c:v>7.1641830859705964</c:v>
                      </c:pt>
                      <c:pt idx="4">
                        <c:v>12.236429726013325</c:v>
                      </c:pt>
                      <c:pt idx="5">
                        <c:v>15.085928454368464</c:v>
                      </c:pt>
                      <c:pt idx="6">
                        <c:v>18.27750924172177</c:v>
                      </c:pt>
                      <c:pt idx="7">
                        <c:v>20.256548450011667</c:v>
                      </c:pt>
                      <c:pt idx="8">
                        <c:v>25.078341689789113</c:v>
                      </c:pt>
                      <c:pt idx="9">
                        <c:v>30.809271513840457</c:v>
                      </c:pt>
                      <c:pt idx="10">
                        <c:v>34.721639614770794</c:v>
                      </c:pt>
                    </c:numCache>
                  </c:numRef>
                </c:val>
                <c:smooth val="0"/>
                <c:extLst xmlns:c15="http://schemas.microsoft.com/office/drawing/2012/chart">
                  <c:ext xmlns:c16="http://schemas.microsoft.com/office/drawing/2014/chart" uri="{C3380CC4-5D6E-409C-BE32-E72D297353CC}">
                    <c16:uniqueId val="{0000000C-4BD4-4B45-974D-8BEBCAE3CFF0}"/>
                  </c:ext>
                </c:extLst>
              </c15:ser>
            </c15:filteredLineSeries>
            <c15:filteredLineSeries>
              <c15:ser>
                <c:idx val="14"/>
                <c:order val="10"/>
                <c:tx>
                  <c:strRef>
                    <c:extLst xmlns:c15="http://schemas.microsoft.com/office/drawing/2012/chart">
                      <c:ext xmlns:c15="http://schemas.microsoft.com/office/drawing/2012/chart" uri="{02D57815-91ED-43cb-92C2-25804820EDAC}">
                        <c15:formulaRef>
                          <c15:sqref>'Bill Impact'!$B$23</c15:sqref>
                        </c15:formulaRef>
                      </c:ext>
                    </c:extLst>
                    <c:strCache>
                      <c:ptCount val="1"/>
                      <c:pt idx="0">
                        <c:v>12</c:v>
                      </c:pt>
                    </c:strCache>
                  </c:strRef>
                </c:tx>
                <c:spPr>
                  <a:ln w="28575" cap="rnd">
                    <a:solidFill>
                      <a:schemeClr val="accent3">
                        <a:lumMod val="80000"/>
                        <a:lumOff val="20000"/>
                      </a:schemeClr>
                    </a:solidFill>
                    <a:round/>
                  </a:ln>
                  <a:effectLst/>
                </c:spPr>
                <c:marker>
                  <c:symbol val="none"/>
                </c:marker>
                <c:cat>
                  <c:numRef>
                    <c:extLst xmlns:c15="http://schemas.microsoft.com/office/drawing/2012/chart">
                      <c:ext xmlns:c15="http://schemas.microsoft.com/office/drawing/2012/chart" uri="{02D57815-91ED-43cb-92C2-25804820EDAC}">
                        <c15:formulaRef>
                          <c15:sqref>'Bill Impact'!$C$11:$M$11</c15:sqref>
                        </c15:formulaRef>
                      </c:ext>
                    </c:extLst>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extLst xmlns:c15="http://schemas.microsoft.com/office/drawing/2012/chart">
                      <c:ext xmlns:c15="http://schemas.microsoft.com/office/drawing/2012/chart" uri="{02D57815-91ED-43cb-92C2-25804820EDAC}">
                        <c15:formulaRef>
                          <c15:sqref>'Bill Impact'!$C$23:$M$23</c15:sqref>
                        </c15:formulaRef>
                      </c:ext>
                    </c:extLst>
                    <c:numCache>
                      <c:formatCode>_("$"* #,##0.00_);_("$"* \(#,##0.00\);_("$"* "-"??_);_(@_)</c:formatCode>
                      <c:ptCount val="11"/>
                      <c:pt idx="0">
                        <c:v>3.8601868995160165</c:v>
                      </c:pt>
                      <c:pt idx="1">
                        <c:v>12.178741842132426</c:v>
                      </c:pt>
                      <c:pt idx="2">
                        <c:v>20.800843691440281</c:v>
                      </c:pt>
                      <c:pt idx="3">
                        <c:v>18.823293256431462</c:v>
                      </c:pt>
                      <c:pt idx="4">
                        <c:v>30.504571558806337</c:v>
                      </c:pt>
                      <c:pt idx="5">
                        <c:v>39.571349503675812</c:v>
                      </c:pt>
                      <c:pt idx="6">
                        <c:v>42.066206534236329</c:v>
                      </c:pt>
                      <c:pt idx="7">
                        <c:v>46.597524441117919</c:v>
                      </c:pt>
                      <c:pt idx="8">
                        <c:v>52.660412998561661</c:v>
                      </c:pt>
                      <c:pt idx="9">
                        <c:v>58.532730370591793</c:v>
                      </c:pt>
                      <c:pt idx="10">
                        <c:v>74.863018506384392</c:v>
                      </c:pt>
                    </c:numCache>
                  </c:numRef>
                </c:val>
                <c:smooth val="0"/>
                <c:extLst xmlns:c15="http://schemas.microsoft.com/office/drawing/2012/chart">
                  <c:ext xmlns:c16="http://schemas.microsoft.com/office/drawing/2014/chart" uri="{C3380CC4-5D6E-409C-BE32-E72D297353CC}">
                    <c16:uniqueId val="{00000004-4BD4-4B45-974D-8BEBCAE3CFF0}"/>
                  </c:ext>
                </c:extLst>
              </c15:ser>
            </c15:filteredLineSeries>
            <c15:filteredLineSeries>
              <c15:ser>
                <c:idx val="7"/>
                <c:order val="11"/>
                <c:tx>
                  <c:strRef>
                    <c:extLst xmlns:c15="http://schemas.microsoft.com/office/drawing/2012/chart">
                      <c:ext xmlns:c15="http://schemas.microsoft.com/office/drawing/2012/chart" uri="{02D57815-91ED-43cb-92C2-25804820EDAC}">
                        <c15:formulaRef>
                          <c15:sqref>'Bill Impact'!$B$24</c15:sqref>
                        </c15:formulaRef>
                      </c:ext>
                    </c:extLst>
                    <c:strCache>
                      <c:ptCount val="1"/>
                      <c:pt idx="0">
                        <c:v>13</c:v>
                      </c:pt>
                    </c:strCache>
                  </c:strRef>
                </c:tx>
                <c:spPr>
                  <a:ln w="28575" cap="rnd">
                    <a:solidFill>
                      <a:schemeClr val="accent2">
                        <a:lumMod val="60000"/>
                      </a:schemeClr>
                    </a:solidFill>
                    <a:round/>
                  </a:ln>
                  <a:effectLst/>
                </c:spPr>
                <c:marker>
                  <c:symbol val="none"/>
                </c:marker>
                <c:cat>
                  <c:numRef>
                    <c:extLst xmlns:c15="http://schemas.microsoft.com/office/drawing/2012/chart">
                      <c:ext xmlns:c15="http://schemas.microsoft.com/office/drawing/2012/chart" uri="{02D57815-91ED-43cb-92C2-25804820EDAC}">
                        <c15:formulaRef>
                          <c15:sqref>'Bill Impact'!$C$11:$M$11</c15:sqref>
                        </c15:formulaRef>
                      </c:ext>
                    </c:extLst>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extLst xmlns:c15="http://schemas.microsoft.com/office/drawing/2012/chart">
                      <c:ext xmlns:c15="http://schemas.microsoft.com/office/drawing/2012/chart" uri="{02D57815-91ED-43cb-92C2-25804820EDAC}">
                        <c15:formulaRef>
                          <c15:sqref>'Bill Impact'!$C$24:$M$24</c15:sqref>
                        </c15:formulaRef>
                      </c:ext>
                    </c:extLst>
                    <c:numCache>
                      <c:formatCode>_("$"* #,##0.00_);_("$"* \(#,##0.00\);_("$"* "-"??_);_(@_)</c:formatCode>
                      <c:ptCount val="11"/>
                      <c:pt idx="0">
                        <c:v>3.3124732345818999</c:v>
                      </c:pt>
                      <c:pt idx="1">
                        <c:v>12.250877153158033</c:v>
                      </c:pt>
                      <c:pt idx="2">
                        <c:v>20.173909522890078</c:v>
                      </c:pt>
                      <c:pt idx="3">
                        <c:v>18.964464989768782</c:v>
                      </c:pt>
                      <c:pt idx="4">
                        <c:v>30.123438548171109</c:v>
                      </c:pt>
                      <c:pt idx="5">
                        <c:v>38.98994987270634</c:v>
                      </c:pt>
                      <c:pt idx="6">
                        <c:v>41.82835701475652</c:v>
                      </c:pt>
                      <c:pt idx="7">
                        <c:v>45.267995623263147</c:v>
                      </c:pt>
                      <c:pt idx="8">
                        <c:v>52.115693636364909</c:v>
                      </c:pt>
                      <c:pt idx="9">
                        <c:v>57.363898374575818</c:v>
                      </c:pt>
                      <c:pt idx="10">
                        <c:v>80.73441538281341</c:v>
                      </c:pt>
                    </c:numCache>
                  </c:numRef>
                </c:val>
                <c:smooth val="0"/>
                <c:extLst xmlns:c15="http://schemas.microsoft.com/office/drawing/2012/chart">
                  <c:ext xmlns:c16="http://schemas.microsoft.com/office/drawing/2014/chart" uri="{C3380CC4-5D6E-409C-BE32-E72D297353CC}">
                    <c16:uniqueId val="{0000000D-4BD4-4B45-974D-8BEBCAE3CFF0}"/>
                  </c:ext>
                </c:extLst>
              </c15:ser>
            </c15:filteredLineSeries>
          </c:ext>
        </c:extLst>
      </c:lineChart>
      <c:catAx>
        <c:axId val="152764639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crossAx val="1527647839"/>
        <c:crosses val="autoZero"/>
        <c:auto val="1"/>
        <c:lblAlgn val="ctr"/>
        <c:lblOffset val="100"/>
        <c:noMultiLvlLbl val="0"/>
      </c:catAx>
      <c:valAx>
        <c:axId val="1527647839"/>
        <c:scaling>
          <c:orientation val="minMax"/>
        </c:scaling>
        <c:delete val="0"/>
        <c:axPos val="l"/>
        <c:majorGridlines>
          <c:spPr>
            <a:ln w="9525" cap="flat" cmpd="sng" algn="ctr">
              <a:solidFill>
                <a:schemeClr val="tx1">
                  <a:lumMod val="15000"/>
                  <a:lumOff val="85000"/>
                </a:schemeClr>
              </a:solidFill>
              <a:round/>
            </a:ln>
            <a:effectLst/>
          </c:spPr>
        </c:majorGridlines>
        <c:numFmt formatCode="_(&quot;$&quot;* #,##0_);_(&quot;$&quot;* \(#,##0\);_(&quot;$&quot;* &quot;-&quot;_);_(@_)"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crossAx val="1527646399"/>
        <c:crosses val="autoZero"/>
        <c:crossBetween val="between"/>
      </c:valAx>
      <c:spPr>
        <a:noFill/>
        <a:ln>
          <a:noFill/>
        </a:ln>
        <a:effectLst/>
      </c:spPr>
    </c:plotArea>
    <c:legend>
      <c:legendPos val="r"/>
      <c:layout>
        <c:manualLayout>
          <c:xMode val="edge"/>
          <c:yMode val="edge"/>
          <c:x val="0.81752551067832058"/>
          <c:y val="2.9655644981646679E-2"/>
          <c:w val="0.17588578894282919"/>
          <c:h val="0.92559006692429113"/>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2035 Estimated Customer Assistance Program (CAP) Electricity Burden (Avg of Scenarios)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4988637694514211E-2"/>
          <c:y val="0.10400279258437256"/>
          <c:w val="0.57511986254139413"/>
          <c:h val="0.75842862406197753"/>
        </c:manualLayout>
      </c:layout>
      <c:barChart>
        <c:barDir val="col"/>
        <c:grouping val="clustered"/>
        <c:varyColors val="0"/>
        <c:ser>
          <c:idx val="0"/>
          <c:order val="0"/>
          <c:tx>
            <c:strRef>
              <c:f>'Bill Impact'!$E$53</c:f>
              <c:strCache>
                <c:ptCount val="1"/>
                <c:pt idx="0">
                  <c:v>2035 Estimated CAP Customer Electricity Burden</c:v>
                </c:pt>
              </c:strCache>
            </c:strRef>
          </c:tx>
          <c:spPr>
            <a:solidFill>
              <a:schemeClr val="accent1"/>
            </a:solidFill>
            <a:ln>
              <a:noFill/>
            </a:ln>
            <a:effectLst/>
          </c:spPr>
          <c:invertIfNegative val="0"/>
          <c:cat>
            <c:numRef>
              <c:f>'Bill Impact'!$B$67:$B$70</c:f>
              <c:numCache>
                <c:formatCode>General</c:formatCode>
                <c:ptCount val="4"/>
                <c:pt idx="0">
                  <c:v>14</c:v>
                </c:pt>
                <c:pt idx="1">
                  <c:v>15</c:v>
                </c:pt>
                <c:pt idx="2">
                  <c:v>16</c:v>
                </c:pt>
                <c:pt idx="3">
                  <c:v>17</c:v>
                </c:pt>
              </c:numCache>
            </c:numRef>
          </c:cat>
          <c:val>
            <c:numRef>
              <c:f>'Bill Impact'!$E$67:$E$70</c:f>
              <c:numCache>
                <c:formatCode>0.0%</c:formatCode>
                <c:ptCount val="4"/>
                <c:pt idx="0">
                  <c:v>3.9478003316082727E-2</c:v>
                </c:pt>
                <c:pt idx="1">
                  <c:v>4.6959587182218522E-2</c:v>
                </c:pt>
                <c:pt idx="2">
                  <c:v>4.5371489133323915E-2</c:v>
                </c:pt>
                <c:pt idx="3">
                  <c:v>4.4642276659516318E-2</c:v>
                </c:pt>
              </c:numCache>
            </c:numRef>
          </c:val>
          <c:extLst>
            <c:ext xmlns:c16="http://schemas.microsoft.com/office/drawing/2014/chart" uri="{C3380CC4-5D6E-409C-BE32-E72D297353CC}">
              <c16:uniqueId val="{00000000-B6DE-4C67-846D-F453C716C9E5}"/>
            </c:ext>
          </c:extLst>
        </c:ser>
        <c:dLbls>
          <c:showLegendKey val="0"/>
          <c:showVal val="0"/>
          <c:showCatName val="0"/>
          <c:showSerName val="0"/>
          <c:showPercent val="0"/>
          <c:showBubbleSize val="0"/>
        </c:dLbls>
        <c:gapWidth val="150"/>
        <c:axId val="1086561263"/>
        <c:axId val="1086554543"/>
      </c:barChart>
      <c:lineChart>
        <c:grouping val="standard"/>
        <c:varyColors val="0"/>
        <c:ser>
          <c:idx val="1"/>
          <c:order val="1"/>
          <c:tx>
            <c:strRef>
              <c:f>'Bill Impact'!$C$53</c:f>
              <c:strCache>
                <c:ptCount val="1"/>
                <c:pt idx="0">
                  <c:v>2023 Estimated CAP Customer Electricity Burden</c:v>
                </c:pt>
              </c:strCache>
            </c:strRef>
          </c:tx>
          <c:spPr>
            <a:ln w="28575" cap="rnd">
              <a:solidFill>
                <a:schemeClr val="accent2"/>
              </a:solidFill>
              <a:prstDash val="dash"/>
              <a:round/>
            </a:ln>
            <a:effectLst/>
          </c:spPr>
          <c:marker>
            <c:symbol val="none"/>
          </c:marker>
          <c:val>
            <c:numRef>
              <c:f>'Bill Impact'!$C$67:$C$70</c:f>
              <c:numCache>
                <c:formatCode>0.00%</c:formatCode>
                <c:ptCount val="4"/>
                <c:pt idx="0">
                  <c:v>3.7999999999999999E-2</c:v>
                </c:pt>
                <c:pt idx="1">
                  <c:v>3.7999999999999999E-2</c:v>
                </c:pt>
                <c:pt idx="2">
                  <c:v>3.7999999999999999E-2</c:v>
                </c:pt>
                <c:pt idx="3">
                  <c:v>3.7999999999999999E-2</c:v>
                </c:pt>
              </c:numCache>
            </c:numRef>
          </c:val>
          <c:smooth val="0"/>
          <c:extLst>
            <c:ext xmlns:c16="http://schemas.microsoft.com/office/drawing/2014/chart" uri="{C3380CC4-5D6E-409C-BE32-E72D297353CC}">
              <c16:uniqueId val="{00000001-B6DE-4C67-846D-F453C716C9E5}"/>
            </c:ext>
          </c:extLst>
        </c:ser>
        <c:ser>
          <c:idx val="2"/>
          <c:order val="2"/>
          <c:tx>
            <c:strRef>
              <c:f>'Bill Impact'!$D$53</c:f>
              <c:strCache>
                <c:ptCount val="1"/>
                <c:pt idx="0">
                  <c:v>2023 State of Texas Average Low Income Customer Electricity Burden</c:v>
                </c:pt>
              </c:strCache>
            </c:strRef>
          </c:tx>
          <c:spPr>
            <a:ln w="28575" cap="rnd">
              <a:solidFill>
                <a:schemeClr val="tx1"/>
              </a:solidFill>
              <a:prstDash val="dash"/>
              <a:round/>
            </a:ln>
            <a:effectLst/>
          </c:spPr>
          <c:marker>
            <c:symbol val="none"/>
          </c:marker>
          <c:val>
            <c:numRef>
              <c:f>'Bill Impact'!$D$67:$D$70</c:f>
              <c:numCache>
                <c:formatCode>0.00%</c:formatCode>
                <c:ptCount val="4"/>
                <c:pt idx="0">
                  <c:v>0.05</c:v>
                </c:pt>
                <c:pt idx="1">
                  <c:v>0.05</c:v>
                </c:pt>
                <c:pt idx="2">
                  <c:v>0.05</c:v>
                </c:pt>
                <c:pt idx="3">
                  <c:v>0.05</c:v>
                </c:pt>
              </c:numCache>
            </c:numRef>
          </c:val>
          <c:smooth val="0"/>
          <c:extLst>
            <c:ext xmlns:c16="http://schemas.microsoft.com/office/drawing/2014/chart" uri="{C3380CC4-5D6E-409C-BE32-E72D297353CC}">
              <c16:uniqueId val="{00000002-B6DE-4C67-846D-F453C716C9E5}"/>
            </c:ext>
          </c:extLst>
        </c:ser>
        <c:dLbls>
          <c:showLegendKey val="0"/>
          <c:showVal val="0"/>
          <c:showCatName val="0"/>
          <c:showSerName val="0"/>
          <c:showPercent val="0"/>
          <c:showBubbleSize val="0"/>
        </c:dLbls>
        <c:marker val="1"/>
        <c:smooth val="0"/>
        <c:axId val="1086561263"/>
        <c:axId val="1086554543"/>
      </c:lineChart>
      <c:catAx>
        <c:axId val="1086561263"/>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Portfolio #</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6554543"/>
        <c:crosses val="autoZero"/>
        <c:auto val="1"/>
        <c:lblAlgn val="ctr"/>
        <c:lblOffset val="100"/>
        <c:noMultiLvlLbl val="0"/>
      </c:catAx>
      <c:valAx>
        <c:axId val="1086554543"/>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Electricity Burden</a:t>
                </a:r>
              </a:p>
            </c:rich>
          </c:tx>
          <c:layout>
            <c:manualLayout>
              <c:xMode val="edge"/>
              <c:yMode val="edge"/>
              <c:x val="2.2897012715755793E-2"/>
              <c:y val="0.3955953327616226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6561263"/>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Stress</a:t>
            </a:r>
            <a:r>
              <a:rPr lang="en-US" baseline="0"/>
              <a:t> Test Results - Total Liquidity Need ($mm)</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1"/>
          <c:order val="0"/>
          <c:tx>
            <c:strRef>
              <c:f>'Liquidity Risk'!$D$5</c:f>
              <c:strCache>
                <c:ptCount val="1"/>
                <c:pt idx="0">
                  <c:v>Uri Backcast 5k HCAP Total Liquidity Need ($MM)</c:v>
                </c:pt>
              </c:strCache>
            </c:strRef>
          </c:tx>
          <c:spPr>
            <a:solidFill>
              <a:schemeClr val="tx1"/>
            </a:solidFill>
            <a:ln>
              <a:noFill/>
            </a:ln>
            <a:effectLst/>
          </c:spPr>
          <c:invertIfNegative val="0"/>
          <c:cat>
            <c:numRef>
              <c:f>'Liquidity Risk'!$C$19:$C$22</c:f>
              <c:numCache>
                <c:formatCode>0</c:formatCode>
                <c:ptCount val="4"/>
                <c:pt idx="0">
                  <c:v>14</c:v>
                </c:pt>
                <c:pt idx="1">
                  <c:v>15</c:v>
                </c:pt>
                <c:pt idx="2">
                  <c:v>16</c:v>
                </c:pt>
                <c:pt idx="3">
                  <c:v>17</c:v>
                </c:pt>
              </c:numCache>
            </c:numRef>
          </c:cat>
          <c:val>
            <c:numRef>
              <c:f>'Liquidity Risk'!$D$19:$D$22</c:f>
              <c:numCache>
                <c:formatCode>0</c:formatCode>
                <c:ptCount val="4"/>
                <c:pt idx="0">
                  <c:v>475.01077566996776</c:v>
                </c:pt>
                <c:pt idx="1">
                  <c:v>1040.2368581269184</c:v>
                </c:pt>
                <c:pt idx="2">
                  <c:v>256.31439275547166</c:v>
                </c:pt>
                <c:pt idx="3">
                  <c:v>284.89252063100065</c:v>
                </c:pt>
              </c:numCache>
            </c:numRef>
          </c:val>
          <c:extLst>
            <c:ext xmlns:c16="http://schemas.microsoft.com/office/drawing/2014/chart" uri="{C3380CC4-5D6E-409C-BE32-E72D297353CC}">
              <c16:uniqueId val="{00000000-8DB2-40AE-A6C3-6713DBA9D607}"/>
            </c:ext>
          </c:extLst>
        </c:ser>
        <c:ser>
          <c:idx val="0"/>
          <c:order val="1"/>
          <c:tx>
            <c:strRef>
              <c:f>'Liquidity Risk'!$E$5</c:f>
              <c:strCache>
                <c:ptCount val="1"/>
                <c:pt idx="0">
                  <c:v>Uri Backcast 5k HCAP + EPP Total Liquidity Need ($MM)</c:v>
                </c:pt>
              </c:strCache>
            </c:strRef>
          </c:tx>
          <c:spPr>
            <a:solidFill>
              <a:schemeClr val="accent4"/>
            </a:solidFill>
            <a:ln>
              <a:noFill/>
            </a:ln>
            <a:effectLst/>
          </c:spPr>
          <c:invertIfNegative val="0"/>
          <c:cat>
            <c:numRef>
              <c:f>'Liquidity Risk'!$C$19:$C$22</c:f>
              <c:numCache>
                <c:formatCode>0</c:formatCode>
                <c:ptCount val="4"/>
                <c:pt idx="0">
                  <c:v>14</c:v>
                </c:pt>
                <c:pt idx="1">
                  <c:v>15</c:v>
                </c:pt>
                <c:pt idx="2">
                  <c:v>16</c:v>
                </c:pt>
                <c:pt idx="3">
                  <c:v>17</c:v>
                </c:pt>
              </c:numCache>
            </c:numRef>
          </c:cat>
          <c:val>
            <c:numRef>
              <c:f>'Liquidity Risk'!$E$19:$E$22</c:f>
              <c:numCache>
                <c:formatCode>0</c:formatCode>
                <c:ptCount val="4"/>
                <c:pt idx="0">
                  <c:v>443.79113137118895</c:v>
                </c:pt>
                <c:pt idx="1">
                  <c:v>879.12184092141649</c:v>
                </c:pt>
                <c:pt idx="2">
                  <c:v>290.11008962937473</c:v>
                </c:pt>
                <c:pt idx="3">
                  <c:v>311.59663932086619</c:v>
                </c:pt>
              </c:numCache>
            </c:numRef>
          </c:val>
          <c:extLst>
            <c:ext xmlns:c16="http://schemas.microsoft.com/office/drawing/2014/chart" uri="{C3380CC4-5D6E-409C-BE32-E72D297353CC}">
              <c16:uniqueId val="{00000001-8DB2-40AE-A6C3-6713DBA9D607}"/>
            </c:ext>
          </c:extLst>
        </c:ser>
        <c:ser>
          <c:idx val="2"/>
          <c:order val="2"/>
          <c:tx>
            <c:strRef>
              <c:f>'Liquidity Risk'!$F$5</c:f>
              <c:strCache>
                <c:ptCount val="1"/>
                <c:pt idx="0">
                  <c:v>Summer 2023 Backcast Total Liquidity Need ($MM)</c:v>
                </c:pt>
              </c:strCache>
            </c:strRef>
          </c:tx>
          <c:spPr>
            <a:solidFill>
              <a:schemeClr val="accent2"/>
            </a:solidFill>
            <a:ln>
              <a:noFill/>
            </a:ln>
            <a:effectLst/>
          </c:spPr>
          <c:invertIfNegative val="0"/>
          <c:cat>
            <c:numRef>
              <c:f>'Liquidity Risk'!$C$19:$C$22</c:f>
              <c:numCache>
                <c:formatCode>0</c:formatCode>
                <c:ptCount val="4"/>
                <c:pt idx="0">
                  <c:v>14</c:v>
                </c:pt>
                <c:pt idx="1">
                  <c:v>15</c:v>
                </c:pt>
                <c:pt idx="2">
                  <c:v>16</c:v>
                </c:pt>
                <c:pt idx="3">
                  <c:v>17</c:v>
                </c:pt>
              </c:numCache>
            </c:numRef>
          </c:cat>
          <c:val>
            <c:numRef>
              <c:f>'Liquidity Risk'!$F$19:$F$22</c:f>
              <c:numCache>
                <c:formatCode>0</c:formatCode>
                <c:ptCount val="4"/>
                <c:pt idx="0">
                  <c:v>274.30860205954491</c:v>
                </c:pt>
                <c:pt idx="1">
                  <c:v>228.09700657377385</c:v>
                </c:pt>
                <c:pt idx="2">
                  <c:v>64.722750724907215</c:v>
                </c:pt>
                <c:pt idx="3">
                  <c:v>117.6622869759036</c:v>
                </c:pt>
              </c:numCache>
            </c:numRef>
          </c:val>
          <c:extLst>
            <c:ext xmlns:c16="http://schemas.microsoft.com/office/drawing/2014/chart" uri="{C3380CC4-5D6E-409C-BE32-E72D297353CC}">
              <c16:uniqueId val="{00000002-8DB2-40AE-A6C3-6713DBA9D607}"/>
            </c:ext>
          </c:extLst>
        </c:ser>
        <c:dLbls>
          <c:showLegendKey val="0"/>
          <c:showVal val="0"/>
          <c:showCatName val="0"/>
          <c:showSerName val="0"/>
          <c:showPercent val="0"/>
          <c:showBubbleSize val="0"/>
        </c:dLbls>
        <c:gapWidth val="100"/>
        <c:overlap val="20"/>
        <c:axId val="1187280400"/>
        <c:axId val="1187278960"/>
      </c:barChart>
      <c:catAx>
        <c:axId val="1187280400"/>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Portfolio Number</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87278960"/>
        <c:crosses val="autoZero"/>
        <c:auto val="1"/>
        <c:lblAlgn val="ctr"/>
        <c:lblOffset val="100"/>
        <c:noMultiLvlLbl val="0"/>
      </c:catAx>
      <c:valAx>
        <c:axId val="118727896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$mm</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8728040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Stress</a:t>
            </a:r>
            <a:r>
              <a:rPr lang="en-US" baseline="0"/>
              <a:t> Test Results - Total Liquidity Need ($mm)</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1"/>
          <c:order val="0"/>
          <c:tx>
            <c:strRef>
              <c:f>'Liquidity Risk'!$D$5</c:f>
              <c:strCache>
                <c:ptCount val="1"/>
                <c:pt idx="0">
                  <c:v>Uri Backcast 5k HCAP Total Liquidity Need ($MM)</c:v>
                </c:pt>
              </c:strCache>
            </c:strRef>
          </c:tx>
          <c:spPr>
            <a:solidFill>
              <a:schemeClr val="tx1"/>
            </a:solidFill>
            <a:ln>
              <a:noFill/>
            </a:ln>
            <a:effectLst/>
          </c:spPr>
          <c:invertIfNegative val="0"/>
          <c:cat>
            <c:numRef>
              <c:f>'Liquidity Risk'!$C$6:$C$22</c:f>
              <c:numCache>
                <c:formatCode>0</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'Liquidity Risk'!$D$6:$D$22</c:f>
              <c:numCache>
                <c:formatCode>0</c:formatCode>
                <c:ptCount val="17"/>
                <c:pt idx="0">
                  <c:v>1381.564414903514</c:v>
                </c:pt>
                <c:pt idx="1">
                  <c:v>1684.7717052546664</c:v>
                </c:pt>
                <c:pt idx="2">
                  <c:v>526.54100203138307</c:v>
                </c:pt>
                <c:pt idx="3">
                  <c:v>481.71508883252159</c:v>
                </c:pt>
                <c:pt idx="4">
                  <c:v>1657.2863727599597</c:v>
                </c:pt>
                <c:pt idx="5">
                  <c:v>1642.726397033834</c:v>
                </c:pt>
                <c:pt idx="6">
                  <c:v>1445.3433813429574</c:v>
                </c:pt>
                <c:pt idx="7">
                  <c:v>653.01269037798863</c:v>
                </c:pt>
                <c:pt idx="8">
                  <c:v>960.49379678571768</c:v>
                </c:pt>
                <c:pt idx="9">
                  <c:v>608.36104624550637</c:v>
                </c:pt>
                <c:pt idx="10">
                  <c:v>444.98708421319259</c:v>
                </c:pt>
                <c:pt idx="11">
                  <c:v>1111.1440516257251</c:v>
                </c:pt>
                <c:pt idx="12">
                  <c:v>1312.7235610342636</c:v>
                </c:pt>
                <c:pt idx="13">
                  <c:v>475.01077566996776</c:v>
                </c:pt>
                <c:pt idx="14">
                  <c:v>1040.2368581269184</c:v>
                </c:pt>
                <c:pt idx="15">
                  <c:v>256.31439275547166</c:v>
                </c:pt>
                <c:pt idx="16">
                  <c:v>284.89252063100065</c:v>
                </c:pt>
              </c:numCache>
            </c:numRef>
          </c:val>
          <c:extLst>
            <c:ext xmlns:c16="http://schemas.microsoft.com/office/drawing/2014/chart" uri="{C3380CC4-5D6E-409C-BE32-E72D297353CC}">
              <c16:uniqueId val="{00000000-512D-42CE-9688-61037552B356}"/>
            </c:ext>
          </c:extLst>
        </c:ser>
        <c:ser>
          <c:idx val="0"/>
          <c:order val="1"/>
          <c:tx>
            <c:strRef>
              <c:f>'Liquidity Risk'!$E$5</c:f>
              <c:strCache>
                <c:ptCount val="1"/>
                <c:pt idx="0">
                  <c:v>Uri Backcast 5k HCAP + EPP Total Liquidity Need ($MM)</c:v>
                </c:pt>
              </c:strCache>
            </c:strRef>
          </c:tx>
          <c:spPr>
            <a:solidFill>
              <a:schemeClr val="accent4"/>
            </a:solidFill>
            <a:ln>
              <a:noFill/>
            </a:ln>
            <a:effectLst/>
          </c:spPr>
          <c:invertIfNegative val="0"/>
          <c:cat>
            <c:numRef>
              <c:f>'Liquidity Risk'!$C$6:$C$22</c:f>
              <c:numCache>
                <c:formatCode>0</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'Liquidity Risk'!$E$6:$E$22</c:f>
              <c:numCache>
                <c:formatCode>0</c:formatCode>
                <c:ptCount val="17"/>
                <c:pt idx="0">
                  <c:v>1093.3340209442185</c:v>
                </c:pt>
                <c:pt idx="1">
                  <c:v>1278.1305085788722</c:v>
                </c:pt>
                <c:pt idx="2">
                  <c:v>553.54447398198363</c:v>
                </c:pt>
                <c:pt idx="3">
                  <c:v>522.933016297687</c:v>
                </c:pt>
                <c:pt idx="4">
                  <c:v>1261.6197187089581</c:v>
                </c:pt>
                <c:pt idx="5">
                  <c:v>1232.5592058112561</c:v>
                </c:pt>
                <c:pt idx="6">
                  <c:v>1119.1674274977829</c:v>
                </c:pt>
                <c:pt idx="7">
                  <c:v>516.96670568001991</c:v>
                </c:pt>
                <c:pt idx="8">
                  <c:v>757.10633621079319</c:v>
                </c:pt>
                <c:pt idx="9">
                  <c:v>610.24081184555382</c:v>
                </c:pt>
                <c:pt idx="10">
                  <c:v>463.4535569879547</c:v>
                </c:pt>
                <c:pt idx="11">
                  <c:v>921.59357559142552</c:v>
                </c:pt>
                <c:pt idx="12">
                  <c:v>1053.0605680119349</c:v>
                </c:pt>
                <c:pt idx="13">
                  <c:v>443.79113137118895</c:v>
                </c:pt>
                <c:pt idx="14">
                  <c:v>879.12184092141649</c:v>
                </c:pt>
                <c:pt idx="15">
                  <c:v>290.11008962937473</c:v>
                </c:pt>
                <c:pt idx="16">
                  <c:v>311.59663932086619</c:v>
                </c:pt>
              </c:numCache>
            </c:numRef>
          </c:val>
          <c:extLst>
            <c:ext xmlns:c16="http://schemas.microsoft.com/office/drawing/2014/chart" uri="{C3380CC4-5D6E-409C-BE32-E72D297353CC}">
              <c16:uniqueId val="{00000001-512D-42CE-9688-61037552B356}"/>
            </c:ext>
          </c:extLst>
        </c:ser>
        <c:ser>
          <c:idx val="2"/>
          <c:order val="2"/>
          <c:tx>
            <c:strRef>
              <c:f>'Liquidity Risk'!$F$5</c:f>
              <c:strCache>
                <c:ptCount val="1"/>
                <c:pt idx="0">
                  <c:v>Summer 2023 Backcast Total Liquidity Need ($MM)</c:v>
                </c:pt>
              </c:strCache>
            </c:strRef>
          </c:tx>
          <c:spPr>
            <a:solidFill>
              <a:schemeClr val="accent2"/>
            </a:solidFill>
            <a:ln>
              <a:noFill/>
            </a:ln>
            <a:effectLst/>
          </c:spPr>
          <c:invertIfNegative val="0"/>
          <c:cat>
            <c:numRef>
              <c:f>'Liquidity Risk'!$C$6:$C$22</c:f>
              <c:numCache>
                <c:formatCode>0</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'Liquidity Risk'!$F$6:$F$22</c:f>
              <c:numCache>
                <c:formatCode>0</c:formatCode>
                <c:ptCount val="17"/>
                <c:pt idx="0">
                  <c:v>523.10798042504723</c:v>
                </c:pt>
                <c:pt idx="1">
                  <c:v>531.17308736343944</c:v>
                </c:pt>
                <c:pt idx="2">
                  <c:v>292.82172381386471</c:v>
                </c:pt>
                <c:pt idx="3">
                  <c:v>298.98929762094451</c:v>
                </c:pt>
                <c:pt idx="4">
                  <c:v>514.22914732598167</c:v>
                </c:pt>
                <c:pt idx="5">
                  <c:v>557.24643676693654</c:v>
                </c:pt>
                <c:pt idx="6">
                  <c:v>465.63854204767335</c:v>
                </c:pt>
                <c:pt idx="7">
                  <c:v>186.51892445714896</c:v>
                </c:pt>
                <c:pt idx="8">
                  <c:v>305.75206581652401</c:v>
                </c:pt>
                <c:pt idx="9">
                  <c:v>329.17140084320124</c:v>
                </c:pt>
                <c:pt idx="10">
                  <c:v>238.84071351224259</c:v>
                </c:pt>
                <c:pt idx="11">
                  <c:v>280.95535950019348</c:v>
                </c:pt>
                <c:pt idx="12">
                  <c:v>325.80872803390434</c:v>
                </c:pt>
                <c:pt idx="13">
                  <c:v>274.30860205954491</c:v>
                </c:pt>
                <c:pt idx="14">
                  <c:v>228.09700657377385</c:v>
                </c:pt>
                <c:pt idx="15">
                  <c:v>64.722750724907215</c:v>
                </c:pt>
                <c:pt idx="16">
                  <c:v>117.6622869759036</c:v>
                </c:pt>
              </c:numCache>
            </c:numRef>
          </c:val>
          <c:extLst>
            <c:ext xmlns:c16="http://schemas.microsoft.com/office/drawing/2014/chart" uri="{C3380CC4-5D6E-409C-BE32-E72D297353CC}">
              <c16:uniqueId val="{00000002-512D-42CE-9688-61037552B356}"/>
            </c:ext>
          </c:extLst>
        </c:ser>
        <c:dLbls>
          <c:showLegendKey val="0"/>
          <c:showVal val="0"/>
          <c:showCatName val="0"/>
          <c:showSerName val="0"/>
          <c:showPercent val="0"/>
          <c:showBubbleSize val="0"/>
        </c:dLbls>
        <c:gapWidth val="100"/>
        <c:overlap val="20"/>
        <c:axId val="1187280400"/>
        <c:axId val="1187278960"/>
      </c:barChart>
      <c:catAx>
        <c:axId val="1187280400"/>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Portfolio Number</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87278960"/>
        <c:crosses val="autoZero"/>
        <c:auto val="1"/>
        <c:lblAlgn val="ctr"/>
        <c:lblOffset val="100"/>
        <c:noMultiLvlLbl val="0"/>
      </c:catAx>
      <c:valAx>
        <c:axId val="118727896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$mm</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8728040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Annual Reliability Risk Hours (P1-17)</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'Reliability Risk Hours'!$B$6</c:f>
              <c:strCache>
                <c:ptCount val="1"/>
                <c:pt idx="0">
                  <c:v>1</c:v>
                </c:pt>
              </c:strCache>
            </c:strRef>
          </c:tx>
          <c:spPr>
            <a:ln w="28575" cap="rnd">
              <a:solidFill>
                <a:schemeClr val="accent1"/>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Hours'!$C$6:$M$6</c:f>
              <c:numCache>
                <c:formatCode>#,##0</c:formatCode>
                <c:ptCount val="11"/>
                <c:pt idx="0">
                  <c:v>34</c:v>
                </c:pt>
                <c:pt idx="1">
                  <c:v>40</c:v>
                </c:pt>
                <c:pt idx="2">
                  <c:v>48</c:v>
                </c:pt>
                <c:pt idx="3">
                  <c:v>50</c:v>
                </c:pt>
                <c:pt idx="4">
                  <c:v>66</c:v>
                </c:pt>
                <c:pt idx="5">
                  <c:v>62</c:v>
                </c:pt>
                <c:pt idx="6">
                  <c:v>75</c:v>
                </c:pt>
                <c:pt idx="7">
                  <c:v>89</c:v>
                </c:pt>
                <c:pt idx="8">
                  <c:v>111</c:v>
                </c:pt>
                <c:pt idx="9">
                  <c:v>150</c:v>
                </c:pt>
                <c:pt idx="10">
                  <c:v>165</c:v>
                </c:pt>
              </c:numCache>
            </c:numRef>
          </c:val>
          <c:smooth val="0"/>
          <c:extLst>
            <c:ext xmlns:c16="http://schemas.microsoft.com/office/drawing/2014/chart" uri="{C3380CC4-5D6E-409C-BE32-E72D297353CC}">
              <c16:uniqueId val="{00000000-65B8-4336-8843-3F4E2B462DA3}"/>
            </c:ext>
          </c:extLst>
        </c:ser>
        <c:ser>
          <c:idx val="1"/>
          <c:order val="1"/>
          <c:tx>
            <c:strRef>
              <c:f>'Reliability Risk Hours'!$B$7</c:f>
              <c:strCache>
                <c:ptCount val="1"/>
                <c:pt idx="0">
                  <c:v>2</c:v>
                </c:pt>
              </c:strCache>
            </c:strRef>
          </c:tx>
          <c:spPr>
            <a:ln w="28575" cap="rnd">
              <a:solidFill>
                <a:schemeClr val="accent2"/>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Hours'!$C$7:$M$7</c:f>
              <c:numCache>
                <c:formatCode>#,##0</c:formatCode>
                <c:ptCount val="11"/>
                <c:pt idx="0">
                  <c:v>34</c:v>
                </c:pt>
                <c:pt idx="1">
                  <c:v>40</c:v>
                </c:pt>
                <c:pt idx="2">
                  <c:v>52</c:v>
                </c:pt>
                <c:pt idx="3">
                  <c:v>55</c:v>
                </c:pt>
                <c:pt idx="4">
                  <c:v>68</c:v>
                </c:pt>
                <c:pt idx="5">
                  <c:v>62</c:v>
                </c:pt>
                <c:pt idx="6">
                  <c:v>75</c:v>
                </c:pt>
                <c:pt idx="7">
                  <c:v>89</c:v>
                </c:pt>
                <c:pt idx="8">
                  <c:v>111</c:v>
                </c:pt>
                <c:pt idx="9">
                  <c:v>150</c:v>
                </c:pt>
                <c:pt idx="10">
                  <c:v>2204</c:v>
                </c:pt>
              </c:numCache>
            </c:numRef>
          </c:val>
          <c:smooth val="0"/>
          <c:extLst>
            <c:ext xmlns:c16="http://schemas.microsoft.com/office/drawing/2014/chart" uri="{C3380CC4-5D6E-409C-BE32-E72D297353CC}">
              <c16:uniqueId val="{00000001-65B8-4336-8843-3F4E2B462DA3}"/>
            </c:ext>
          </c:extLst>
        </c:ser>
        <c:ser>
          <c:idx val="2"/>
          <c:order val="2"/>
          <c:tx>
            <c:strRef>
              <c:f>'Reliability Risk Hours'!$B$8</c:f>
              <c:strCache>
                <c:ptCount val="1"/>
                <c:pt idx="0">
                  <c:v>3</c:v>
                </c:pt>
              </c:strCache>
            </c:strRef>
          </c:tx>
          <c:spPr>
            <a:ln w="28575" cap="rnd">
              <a:solidFill>
                <a:schemeClr val="accent3"/>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Hours'!$C$8:$M$8</c:f>
              <c:numCache>
                <c:formatCode>#,##0</c:formatCode>
                <c:ptCount val="11"/>
                <c:pt idx="0">
                  <c:v>31</c:v>
                </c:pt>
                <c:pt idx="1">
                  <c:v>39</c:v>
                </c:pt>
                <c:pt idx="2">
                  <c:v>2</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2-65B8-4336-8843-3F4E2B462DA3}"/>
            </c:ext>
          </c:extLst>
        </c:ser>
        <c:ser>
          <c:idx val="3"/>
          <c:order val="3"/>
          <c:tx>
            <c:strRef>
              <c:f>'Reliability Risk Hours'!$B$9</c:f>
              <c:strCache>
                <c:ptCount val="1"/>
                <c:pt idx="0">
                  <c:v>4</c:v>
                </c:pt>
              </c:strCache>
            </c:strRef>
          </c:tx>
          <c:spPr>
            <a:ln w="28575" cap="rnd">
              <a:solidFill>
                <a:schemeClr val="accent4"/>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Hours'!$C$9:$M$9</c:f>
              <c:numCache>
                <c:formatCode>#,##0</c:formatCode>
                <c:ptCount val="11"/>
                <c:pt idx="0">
                  <c:v>33</c:v>
                </c:pt>
                <c:pt idx="1">
                  <c:v>39</c:v>
                </c:pt>
                <c:pt idx="2">
                  <c:v>4</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3-65B8-4336-8843-3F4E2B462DA3}"/>
            </c:ext>
          </c:extLst>
        </c:ser>
        <c:ser>
          <c:idx val="4"/>
          <c:order val="4"/>
          <c:tx>
            <c:strRef>
              <c:f>'Reliability Risk Hours'!$B$10</c:f>
              <c:strCache>
                <c:ptCount val="1"/>
                <c:pt idx="0">
                  <c:v>5</c:v>
                </c:pt>
              </c:strCache>
            </c:strRef>
          </c:tx>
          <c:spPr>
            <a:ln w="28575" cap="rnd">
              <a:solidFill>
                <a:schemeClr val="accent5"/>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Hours'!$C$10:$M$10</c:f>
              <c:numCache>
                <c:formatCode>#,##0</c:formatCode>
                <c:ptCount val="11"/>
                <c:pt idx="0">
                  <c:v>31</c:v>
                </c:pt>
                <c:pt idx="1">
                  <c:v>39</c:v>
                </c:pt>
                <c:pt idx="2">
                  <c:v>49</c:v>
                </c:pt>
                <c:pt idx="3">
                  <c:v>245</c:v>
                </c:pt>
                <c:pt idx="4">
                  <c:v>252</c:v>
                </c:pt>
                <c:pt idx="5">
                  <c:v>279</c:v>
                </c:pt>
                <c:pt idx="6">
                  <c:v>307</c:v>
                </c:pt>
                <c:pt idx="7">
                  <c:v>350</c:v>
                </c:pt>
                <c:pt idx="8">
                  <c:v>381</c:v>
                </c:pt>
                <c:pt idx="9">
                  <c:v>404</c:v>
                </c:pt>
                <c:pt idx="10">
                  <c:v>2115</c:v>
                </c:pt>
              </c:numCache>
            </c:numRef>
          </c:val>
          <c:smooth val="0"/>
          <c:extLst>
            <c:ext xmlns:c16="http://schemas.microsoft.com/office/drawing/2014/chart" uri="{C3380CC4-5D6E-409C-BE32-E72D297353CC}">
              <c16:uniqueId val="{00000004-65B8-4336-8843-3F4E2B462DA3}"/>
            </c:ext>
          </c:extLst>
        </c:ser>
        <c:ser>
          <c:idx val="5"/>
          <c:order val="5"/>
          <c:tx>
            <c:strRef>
              <c:f>'Reliability Risk Hours'!$B$11</c:f>
              <c:strCache>
                <c:ptCount val="1"/>
                <c:pt idx="0">
                  <c:v>6</c:v>
                </c:pt>
              </c:strCache>
            </c:strRef>
          </c:tx>
          <c:spPr>
            <a:ln w="28575" cap="rnd">
              <a:solidFill>
                <a:schemeClr val="accent6"/>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Hours'!$C$11:$M$11</c:f>
              <c:numCache>
                <c:formatCode>#,##0</c:formatCode>
                <c:ptCount val="11"/>
                <c:pt idx="0">
                  <c:v>31</c:v>
                </c:pt>
                <c:pt idx="1">
                  <c:v>39</c:v>
                </c:pt>
                <c:pt idx="2">
                  <c:v>43</c:v>
                </c:pt>
                <c:pt idx="3">
                  <c:v>38</c:v>
                </c:pt>
                <c:pt idx="4">
                  <c:v>36</c:v>
                </c:pt>
                <c:pt idx="5">
                  <c:v>37</c:v>
                </c:pt>
                <c:pt idx="6">
                  <c:v>35</c:v>
                </c:pt>
                <c:pt idx="7">
                  <c:v>31</c:v>
                </c:pt>
                <c:pt idx="8">
                  <c:v>32</c:v>
                </c:pt>
                <c:pt idx="9">
                  <c:v>32</c:v>
                </c:pt>
                <c:pt idx="10">
                  <c:v>2141</c:v>
                </c:pt>
              </c:numCache>
            </c:numRef>
          </c:val>
          <c:smooth val="0"/>
          <c:extLst>
            <c:ext xmlns:c16="http://schemas.microsoft.com/office/drawing/2014/chart" uri="{C3380CC4-5D6E-409C-BE32-E72D297353CC}">
              <c16:uniqueId val="{00000005-65B8-4336-8843-3F4E2B462DA3}"/>
            </c:ext>
          </c:extLst>
        </c:ser>
        <c:ser>
          <c:idx val="6"/>
          <c:order val="6"/>
          <c:tx>
            <c:strRef>
              <c:f>'Reliability Risk Hours'!$B$12</c:f>
              <c:strCache>
                <c:ptCount val="1"/>
                <c:pt idx="0">
                  <c:v>7</c:v>
                </c:pt>
              </c:strCache>
            </c:strRef>
          </c:tx>
          <c:spPr>
            <a:ln w="28575" cap="rnd">
              <a:solidFill>
                <a:schemeClr val="accent1">
                  <a:lumMod val="60000"/>
                </a:schemeClr>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Hours'!$C$12:$M$12</c:f>
              <c:numCache>
                <c:formatCode>#,##0</c:formatCode>
                <c:ptCount val="11"/>
                <c:pt idx="0">
                  <c:v>31</c:v>
                </c:pt>
                <c:pt idx="1">
                  <c:v>39</c:v>
                </c:pt>
                <c:pt idx="2">
                  <c:v>44</c:v>
                </c:pt>
                <c:pt idx="3">
                  <c:v>37</c:v>
                </c:pt>
                <c:pt idx="4">
                  <c:v>36</c:v>
                </c:pt>
                <c:pt idx="5">
                  <c:v>38</c:v>
                </c:pt>
                <c:pt idx="6">
                  <c:v>36</c:v>
                </c:pt>
                <c:pt idx="7">
                  <c:v>34</c:v>
                </c:pt>
                <c:pt idx="8">
                  <c:v>32</c:v>
                </c:pt>
                <c:pt idx="9">
                  <c:v>34</c:v>
                </c:pt>
                <c:pt idx="10">
                  <c:v>2136</c:v>
                </c:pt>
              </c:numCache>
            </c:numRef>
          </c:val>
          <c:smooth val="0"/>
          <c:extLst>
            <c:ext xmlns:c16="http://schemas.microsoft.com/office/drawing/2014/chart" uri="{C3380CC4-5D6E-409C-BE32-E72D297353CC}">
              <c16:uniqueId val="{00000006-65B8-4336-8843-3F4E2B462DA3}"/>
            </c:ext>
          </c:extLst>
        </c:ser>
        <c:ser>
          <c:idx val="7"/>
          <c:order val="7"/>
          <c:tx>
            <c:strRef>
              <c:f>'Reliability Risk Hours'!$B$13</c:f>
              <c:strCache>
                <c:ptCount val="1"/>
                <c:pt idx="0">
                  <c:v>8</c:v>
                </c:pt>
              </c:strCache>
            </c:strRef>
          </c:tx>
          <c:spPr>
            <a:ln w="28575" cap="rnd">
              <a:solidFill>
                <a:schemeClr val="accent2">
                  <a:lumMod val="60000"/>
                </a:schemeClr>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Hours'!$C$13:$M$13</c:f>
              <c:numCache>
                <c:formatCode>#,##0</c:formatCode>
                <c:ptCount val="11"/>
                <c:pt idx="0">
                  <c:v>31</c:v>
                </c:pt>
                <c:pt idx="1">
                  <c:v>39</c:v>
                </c:pt>
                <c:pt idx="2">
                  <c:v>49</c:v>
                </c:pt>
                <c:pt idx="3">
                  <c:v>53</c:v>
                </c:pt>
                <c:pt idx="4">
                  <c:v>61</c:v>
                </c:pt>
                <c:pt idx="5">
                  <c:v>7</c:v>
                </c:pt>
                <c:pt idx="6">
                  <c:v>0</c:v>
                </c:pt>
                <c:pt idx="7">
                  <c:v>0</c:v>
                </c:pt>
                <c:pt idx="8">
                  <c:v>0</c:v>
                </c:pt>
                <c:pt idx="9">
                  <c:v>0</c:v>
                </c:pt>
                <c:pt idx="10">
                  <c:v>3</c:v>
                </c:pt>
              </c:numCache>
            </c:numRef>
          </c:val>
          <c:smooth val="0"/>
          <c:extLst>
            <c:ext xmlns:c16="http://schemas.microsoft.com/office/drawing/2014/chart" uri="{C3380CC4-5D6E-409C-BE32-E72D297353CC}">
              <c16:uniqueId val="{00000007-65B8-4336-8843-3F4E2B462DA3}"/>
            </c:ext>
          </c:extLst>
        </c:ser>
        <c:ser>
          <c:idx val="8"/>
          <c:order val="8"/>
          <c:tx>
            <c:strRef>
              <c:f>'Reliability Risk Hours'!$B$14</c:f>
              <c:strCache>
                <c:ptCount val="1"/>
                <c:pt idx="0">
                  <c:v>9</c:v>
                </c:pt>
              </c:strCache>
            </c:strRef>
          </c:tx>
          <c:spPr>
            <a:ln w="28575" cap="rnd">
              <a:solidFill>
                <a:schemeClr val="accent3">
                  <a:lumMod val="60000"/>
                </a:schemeClr>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Hours'!$C$14:$M$14</c:f>
              <c:numCache>
                <c:formatCode>#,##0</c:formatCode>
                <c:ptCount val="11"/>
                <c:pt idx="0">
                  <c:v>31</c:v>
                </c:pt>
                <c:pt idx="1">
                  <c:v>39</c:v>
                </c:pt>
                <c:pt idx="2">
                  <c:v>43</c:v>
                </c:pt>
                <c:pt idx="3">
                  <c:v>39</c:v>
                </c:pt>
                <c:pt idx="4">
                  <c:v>38</c:v>
                </c:pt>
                <c:pt idx="5">
                  <c:v>0</c:v>
                </c:pt>
                <c:pt idx="6">
                  <c:v>0</c:v>
                </c:pt>
                <c:pt idx="7">
                  <c:v>0</c:v>
                </c:pt>
                <c:pt idx="8">
                  <c:v>0</c:v>
                </c:pt>
                <c:pt idx="9">
                  <c:v>0</c:v>
                </c:pt>
                <c:pt idx="10">
                  <c:v>438</c:v>
                </c:pt>
              </c:numCache>
            </c:numRef>
          </c:val>
          <c:smooth val="0"/>
          <c:extLst>
            <c:ext xmlns:c16="http://schemas.microsoft.com/office/drawing/2014/chart" uri="{C3380CC4-5D6E-409C-BE32-E72D297353CC}">
              <c16:uniqueId val="{00000008-65B8-4336-8843-3F4E2B462DA3}"/>
            </c:ext>
          </c:extLst>
        </c:ser>
        <c:ser>
          <c:idx val="9"/>
          <c:order val="9"/>
          <c:tx>
            <c:strRef>
              <c:f>'Reliability Risk Hours'!$B$15</c:f>
              <c:strCache>
                <c:ptCount val="1"/>
                <c:pt idx="0">
                  <c:v>10</c:v>
                </c:pt>
              </c:strCache>
            </c:strRef>
          </c:tx>
          <c:spPr>
            <a:ln w="28575" cap="rnd">
              <a:solidFill>
                <a:schemeClr val="accent4">
                  <a:lumMod val="60000"/>
                </a:schemeClr>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Hours'!$C$15:$M$15</c:f>
              <c:numCache>
                <c:formatCode>#,##0</c:formatCode>
                <c:ptCount val="11"/>
                <c:pt idx="0">
                  <c:v>31</c:v>
                </c:pt>
                <c:pt idx="1">
                  <c:v>39</c:v>
                </c:pt>
                <c:pt idx="2">
                  <c:v>43</c:v>
                </c:pt>
                <c:pt idx="3">
                  <c:v>39</c:v>
                </c:pt>
                <c:pt idx="4">
                  <c:v>38</c:v>
                </c:pt>
                <c:pt idx="5">
                  <c:v>35</c:v>
                </c:pt>
                <c:pt idx="6">
                  <c:v>38</c:v>
                </c:pt>
                <c:pt idx="7">
                  <c:v>33</c:v>
                </c:pt>
                <c:pt idx="8">
                  <c:v>37</c:v>
                </c:pt>
                <c:pt idx="9">
                  <c:v>42</c:v>
                </c:pt>
                <c:pt idx="10">
                  <c:v>41</c:v>
                </c:pt>
              </c:numCache>
            </c:numRef>
          </c:val>
          <c:smooth val="0"/>
          <c:extLst>
            <c:ext xmlns:c16="http://schemas.microsoft.com/office/drawing/2014/chart" uri="{C3380CC4-5D6E-409C-BE32-E72D297353CC}">
              <c16:uniqueId val="{00000009-65B8-4336-8843-3F4E2B462DA3}"/>
            </c:ext>
          </c:extLst>
        </c:ser>
        <c:ser>
          <c:idx val="10"/>
          <c:order val="10"/>
          <c:tx>
            <c:strRef>
              <c:f>'Reliability Risk Hours'!$B$16</c:f>
              <c:strCache>
                <c:ptCount val="1"/>
                <c:pt idx="0">
                  <c:v>11</c:v>
                </c:pt>
              </c:strCache>
            </c:strRef>
          </c:tx>
          <c:spPr>
            <a:ln w="28575" cap="rnd">
              <a:solidFill>
                <a:schemeClr val="accent5">
                  <a:lumMod val="60000"/>
                </a:schemeClr>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Hours'!$C$16:$M$16</c:f>
              <c:numCache>
                <c:formatCode>#,##0</c:formatCode>
                <c:ptCount val="11"/>
                <c:pt idx="0">
                  <c:v>31</c:v>
                </c:pt>
                <c:pt idx="1">
                  <c:v>39</c:v>
                </c:pt>
                <c:pt idx="2">
                  <c:v>4</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A-65B8-4336-8843-3F4E2B462DA3}"/>
            </c:ext>
          </c:extLst>
        </c:ser>
        <c:ser>
          <c:idx val="11"/>
          <c:order val="11"/>
          <c:tx>
            <c:strRef>
              <c:f>'Reliability Risk Hours'!$B$17</c:f>
              <c:strCache>
                <c:ptCount val="1"/>
                <c:pt idx="0">
                  <c:v>12</c:v>
                </c:pt>
              </c:strCache>
            </c:strRef>
          </c:tx>
          <c:spPr>
            <a:ln w="28575" cap="rnd">
              <a:solidFill>
                <a:schemeClr val="accent6">
                  <a:lumMod val="60000"/>
                </a:schemeClr>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Hours'!$C$17:$M$17</c:f>
              <c:numCache>
                <c:formatCode>#,##0</c:formatCode>
                <c:ptCount val="11"/>
                <c:pt idx="0">
                  <c:v>27</c:v>
                </c:pt>
                <c:pt idx="1">
                  <c:v>35</c:v>
                </c:pt>
                <c:pt idx="2">
                  <c:v>19</c:v>
                </c:pt>
                <c:pt idx="3">
                  <c:v>15</c:v>
                </c:pt>
                <c:pt idx="4">
                  <c:v>5</c:v>
                </c:pt>
                <c:pt idx="5">
                  <c:v>3</c:v>
                </c:pt>
                <c:pt idx="6">
                  <c:v>2</c:v>
                </c:pt>
                <c:pt idx="7">
                  <c:v>5</c:v>
                </c:pt>
                <c:pt idx="8">
                  <c:v>1</c:v>
                </c:pt>
                <c:pt idx="9">
                  <c:v>1</c:v>
                </c:pt>
                <c:pt idx="10">
                  <c:v>1369</c:v>
                </c:pt>
              </c:numCache>
            </c:numRef>
          </c:val>
          <c:smooth val="0"/>
          <c:extLst>
            <c:ext xmlns:c16="http://schemas.microsoft.com/office/drawing/2014/chart" uri="{C3380CC4-5D6E-409C-BE32-E72D297353CC}">
              <c16:uniqueId val="{0000000B-65B8-4336-8843-3F4E2B462DA3}"/>
            </c:ext>
          </c:extLst>
        </c:ser>
        <c:ser>
          <c:idx val="12"/>
          <c:order val="12"/>
          <c:tx>
            <c:strRef>
              <c:f>'Reliability Risk Hours'!$B$18</c:f>
              <c:strCache>
                <c:ptCount val="1"/>
                <c:pt idx="0">
                  <c:v>13</c:v>
                </c:pt>
              </c:strCache>
            </c:strRef>
          </c:tx>
          <c:spPr>
            <a:ln w="28575" cap="rnd">
              <a:solidFill>
                <a:schemeClr val="accent1">
                  <a:lumMod val="80000"/>
                  <a:lumOff val="20000"/>
                </a:schemeClr>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Hours'!$C$18:$M$18</c:f>
              <c:numCache>
                <c:formatCode>#,##0</c:formatCode>
                <c:ptCount val="11"/>
                <c:pt idx="0">
                  <c:v>31</c:v>
                </c:pt>
                <c:pt idx="1">
                  <c:v>39</c:v>
                </c:pt>
                <c:pt idx="2">
                  <c:v>36</c:v>
                </c:pt>
                <c:pt idx="3">
                  <c:v>37</c:v>
                </c:pt>
                <c:pt idx="4">
                  <c:v>42</c:v>
                </c:pt>
                <c:pt idx="5">
                  <c:v>26</c:v>
                </c:pt>
                <c:pt idx="6">
                  <c:v>25</c:v>
                </c:pt>
                <c:pt idx="7">
                  <c:v>26</c:v>
                </c:pt>
                <c:pt idx="8">
                  <c:v>31</c:v>
                </c:pt>
                <c:pt idx="9">
                  <c:v>43</c:v>
                </c:pt>
                <c:pt idx="10">
                  <c:v>2449</c:v>
                </c:pt>
              </c:numCache>
            </c:numRef>
          </c:val>
          <c:smooth val="0"/>
          <c:extLst>
            <c:ext xmlns:c16="http://schemas.microsoft.com/office/drawing/2014/chart" uri="{C3380CC4-5D6E-409C-BE32-E72D297353CC}">
              <c16:uniqueId val="{0000000C-65B8-4336-8843-3F4E2B462DA3}"/>
            </c:ext>
          </c:extLst>
        </c:ser>
        <c:ser>
          <c:idx val="13"/>
          <c:order val="13"/>
          <c:tx>
            <c:strRef>
              <c:f>'Reliability Risk Hours'!$B$19</c:f>
              <c:strCache>
                <c:ptCount val="1"/>
                <c:pt idx="0">
                  <c:v>14</c:v>
                </c:pt>
              </c:strCache>
            </c:strRef>
          </c:tx>
          <c:spPr>
            <a:ln w="28575" cap="rnd">
              <a:solidFill>
                <a:schemeClr val="accent2">
                  <a:lumMod val="80000"/>
                  <a:lumOff val="20000"/>
                </a:schemeClr>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Hours'!$C$19:$M$19</c:f>
              <c:numCache>
                <c:formatCode>#,##0</c:formatCode>
                <c:ptCount val="11"/>
                <c:pt idx="0">
                  <c:v>31</c:v>
                </c:pt>
                <c:pt idx="1">
                  <c:v>39</c:v>
                </c:pt>
                <c:pt idx="2">
                  <c:v>13</c:v>
                </c:pt>
                <c:pt idx="3">
                  <c:v>14</c:v>
                </c:pt>
                <c:pt idx="4">
                  <c:v>13</c:v>
                </c:pt>
                <c:pt idx="5">
                  <c:v>7</c:v>
                </c:pt>
                <c:pt idx="6">
                  <c:v>0</c:v>
                </c:pt>
                <c:pt idx="7">
                  <c:v>0</c:v>
                </c:pt>
                <c:pt idx="8">
                  <c:v>0</c:v>
                </c:pt>
                <c:pt idx="9">
                  <c:v>0</c:v>
                </c:pt>
                <c:pt idx="10">
                  <c:v>0</c:v>
                </c:pt>
              </c:numCache>
            </c:numRef>
          </c:val>
          <c:smooth val="0"/>
          <c:extLst>
            <c:ext xmlns:c16="http://schemas.microsoft.com/office/drawing/2014/chart" uri="{C3380CC4-5D6E-409C-BE32-E72D297353CC}">
              <c16:uniqueId val="{0000000D-65B8-4336-8843-3F4E2B462DA3}"/>
            </c:ext>
          </c:extLst>
        </c:ser>
        <c:ser>
          <c:idx val="14"/>
          <c:order val="14"/>
          <c:tx>
            <c:strRef>
              <c:f>'Reliability Risk Hours'!$B$20</c:f>
              <c:strCache>
                <c:ptCount val="1"/>
                <c:pt idx="0">
                  <c:v>15</c:v>
                </c:pt>
              </c:strCache>
            </c:strRef>
          </c:tx>
          <c:spPr>
            <a:ln w="28575" cap="rnd">
              <a:solidFill>
                <a:schemeClr val="accent3">
                  <a:lumMod val="80000"/>
                  <a:lumOff val="20000"/>
                </a:schemeClr>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Hours'!$C$20:$M$20</c:f>
              <c:numCache>
                <c:formatCode>#,##0</c:formatCode>
                <c:ptCount val="11"/>
                <c:pt idx="0">
                  <c:v>27</c:v>
                </c:pt>
                <c:pt idx="1">
                  <c:v>35</c:v>
                </c:pt>
                <c:pt idx="2">
                  <c:v>19</c:v>
                </c:pt>
                <c:pt idx="3">
                  <c:v>15</c:v>
                </c:pt>
                <c:pt idx="4">
                  <c:v>5</c:v>
                </c:pt>
                <c:pt idx="5">
                  <c:v>3</c:v>
                </c:pt>
                <c:pt idx="6">
                  <c:v>0</c:v>
                </c:pt>
                <c:pt idx="7">
                  <c:v>0</c:v>
                </c:pt>
                <c:pt idx="8">
                  <c:v>0</c:v>
                </c:pt>
                <c:pt idx="9">
                  <c:v>0</c:v>
                </c:pt>
                <c:pt idx="10">
                  <c:v>267</c:v>
                </c:pt>
              </c:numCache>
            </c:numRef>
          </c:val>
          <c:smooth val="0"/>
          <c:extLst>
            <c:ext xmlns:c16="http://schemas.microsoft.com/office/drawing/2014/chart" uri="{C3380CC4-5D6E-409C-BE32-E72D297353CC}">
              <c16:uniqueId val="{0000000E-65B8-4336-8843-3F4E2B462DA3}"/>
            </c:ext>
          </c:extLst>
        </c:ser>
        <c:ser>
          <c:idx val="15"/>
          <c:order val="15"/>
          <c:tx>
            <c:strRef>
              <c:f>'Reliability Risk Hours'!$B$21</c:f>
              <c:strCache>
                <c:ptCount val="1"/>
                <c:pt idx="0">
                  <c:v>16</c:v>
                </c:pt>
              </c:strCache>
            </c:strRef>
          </c:tx>
          <c:spPr>
            <a:ln w="28575" cap="rnd">
              <a:solidFill>
                <a:schemeClr val="accent4">
                  <a:lumMod val="80000"/>
                  <a:lumOff val="20000"/>
                </a:schemeClr>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Hours'!$C$21:$M$21</c:f>
              <c:numCache>
                <c:formatCode>#,##0</c:formatCode>
                <c:ptCount val="11"/>
                <c:pt idx="0">
                  <c:v>27</c:v>
                </c:pt>
                <c:pt idx="1">
                  <c:v>35</c:v>
                </c:pt>
                <c:pt idx="2">
                  <c:v>19</c:v>
                </c:pt>
                <c:pt idx="3">
                  <c:v>15</c:v>
                </c:pt>
                <c:pt idx="4">
                  <c:v>5</c:v>
                </c:pt>
                <c:pt idx="5">
                  <c:v>3</c:v>
                </c:pt>
                <c:pt idx="6">
                  <c:v>0</c:v>
                </c:pt>
                <c:pt idx="7">
                  <c:v>0</c:v>
                </c:pt>
                <c:pt idx="8">
                  <c:v>0</c:v>
                </c:pt>
                <c:pt idx="9">
                  <c:v>0</c:v>
                </c:pt>
                <c:pt idx="10">
                  <c:v>0</c:v>
                </c:pt>
              </c:numCache>
            </c:numRef>
          </c:val>
          <c:smooth val="0"/>
          <c:extLst>
            <c:ext xmlns:c16="http://schemas.microsoft.com/office/drawing/2014/chart" uri="{C3380CC4-5D6E-409C-BE32-E72D297353CC}">
              <c16:uniqueId val="{0000000F-65B8-4336-8843-3F4E2B462DA3}"/>
            </c:ext>
          </c:extLst>
        </c:ser>
        <c:ser>
          <c:idx val="16"/>
          <c:order val="16"/>
          <c:tx>
            <c:strRef>
              <c:f>'Reliability Risk Hours'!$B$22</c:f>
              <c:strCache>
                <c:ptCount val="1"/>
                <c:pt idx="0">
                  <c:v>17</c:v>
                </c:pt>
              </c:strCache>
            </c:strRef>
          </c:tx>
          <c:spPr>
            <a:ln w="28575" cap="rnd">
              <a:solidFill>
                <a:schemeClr val="accent5">
                  <a:lumMod val="80000"/>
                  <a:lumOff val="20000"/>
                </a:schemeClr>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Hours'!$C$22:$M$22</c:f>
              <c:numCache>
                <c:formatCode>#,##0</c:formatCode>
                <c:ptCount val="11"/>
                <c:pt idx="0">
                  <c:v>27</c:v>
                </c:pt>
                <c:pt idx="1">
                  <c:v>35</c:v>
                </c:pt>
                <c:pt idx="2">
                  <c:v>19</c:v>
                </c:pt>
                <c:pt idx="3">
                  <c:v>15</c:v>
                </c:pt>
                <c:pt idx="4">
                  <c:v>5</c:v>
                </c:pt>
                <c:pt idx="5">
                  <c:v>3</c:v>
                </c:pt>
                <c:pt idx="6">
                  <c:v>2</c:v>
                </c:pt>
                <c:pt idx="7">
                  <c:v>5</c:v>
                </c:pt>
                <c:pt idx="8">
                  <c:v>1</c:v>
                </c:pt>
                <c:pt idx="9">
                  <c:v>1</c:v>
                </c:pt>
                <c:pt idx="10">
                  <c:v>2</c:v>
                </c:pt>
              </c:numCache>
            </c:numRef>
          </c:val>
          <c:smooth val="0"/>
          <c:extLst>
            <c:ext xmlns:c16="http://schemas.microsoft.com/office/drawing/2014/chart" uri="{C3380CC4-5D6E-409C-BE32-E72D297353CC}">
              <c16:uniqueId val="{00000010-65B8-4336-8843-3F4E2B462DA3}"/>
            </c:ext>
          </c:extLst>
        </c:ser>
        <c:dLbls>
          <c:showLegendKey val="0"/>
          <c:showVal val="0"/>
          <c:showCatName val="0"/>
          <c:showSerName val="0"/>
          <c:showPercent val="0"/>
          <c:showBubbleSize val="0"/>
        </c:dLbls>
        <c:smooth val="0"/>
        <c:axId val="136250431"/>
        <c:axId val="136264831"/>
      </c:lineChart>
      <c:catAx>
        <c:axId val="13625043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36264831"/>
        <c:crosses val="autoZero"/>
        <c:auto val="1"/>
        <c:lblAlgn val="ctr"/>
        <c:lblOffset val="100"/>
        <c:noMultiLvlLbl val="0"/>
      </c:catAx>
      <c:valAx>
        <c:axId val="13626483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r>
                  <a:rPr lang="en-US" sz="1200"/>
                  <a:t>Reliability Risk Hours</a:t>
                </a:r>
              </a:p>
            </c:rich>
          </c:tx>
          <c:overlay val="0"/>
          <c:spPr>
            <a:noFill/>
            <a:ln>
              <a:noFill/>
            </a:ln>
            <a:effectLst/>
          </c:spPr>
          <c:txPr>
            <a:bodyPr rot="-54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3625043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Reliability Risk Hours - High Load Scenario</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'Reliability Risk Hours'!$B$28</c:f>
              <c:strCache>
                <c:ptCount val="1"/>
                <c:pt idx="0">
                  <c:v>14 - High Load Forecast</c:v>
                </c:pt>
              </c:strCache>
            </c:strRef>
          </c:tx>
          <c:spPr>
            <a:ln w="28575" cap="rnd">
              <a:solidFill>
                <a:schemeClr val="accent1"/>
              </a:solidFill>
              <a:round/>
            </a:ln>
            <a:effectLst/>
          </c:spPr>
          <c:marker>
            <c:symbol val="none"/>
          </c:marker>
          <c:cat>
            <c:numRef>
              <c:f>'Reliability Risk Hours'!$C$27:$M$27</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Hours'!$C$28:$M$28</c:f>
              <c:numCache>
                <c:formatCode>#,##0</c:formatCode>
                <c:ptCount val="11"/>
                <c:pt idx="0">
                  <c:v>78</c:v>
                </c:pt>
                <c:pt idx="1">
                  <c:v>182</c:v>
                </c:pt>
                <c:pt idx="2">
                  <c:v>99</c:v>
                </c:pt>
                <c:pt idx="3">
                  <c:v>162</c:v>
                </c:pt>
                <c:pt idx="4">
                  <c:v>217</c:v>
                </c:pt>
                <c:pt idx="5">
                  <c:v>193</c:v>
                </c:pt>
                <c:pt idx="6">
                  <c:v>37</c:v>
                </c:pt>
                <c:pt idx="7">
                  <c:v>76</c:v>
                </c:pt>
                <c:pt idx="8">
                  <c:v>124</c:v>
                </c:pt>
                <c:pt idx="9">
                  <c:v>214</c:v>
                </c:pt>
                <c:pt idx="10">
                  <c:v>283</c:v>
                </c:pt>
              </c:numCache>
            </c:numRef>
          </c:val>
          <c:smooth val="0"/>
          <c:extLst>
            <c:ext xmlns:c16="http://schemas.microsoft.com/office/drawing/2014/chart" uri="{C3380CC4-5D6E-409C-BE32-E72D297353CC}">
              <c16:uniqueId val="{00000000-AE1B-4D48-8F85-857A2BF968EB}"/>
            </c:ext>
          </c:extLst>
        </c:ser>
        <c:ser>
          <c:idx val="1"/>
          <c:order val="1"/>
          <c:tx>
            <c:strRef>
              <c:f>'Reliability Risk Hours'!$B$29</c:f>
              <c:strCache>
                <c:ptCount val="1"/>
                <c:pt idx="0">
                  <c:v>15 - High Load Forecast</c:v>
                </c:pt>
              </c:strCache>
            </c:strRef>
          </c:tx>
          <c:spPr>
            <a:ln w="28575" cap="rnd">
              <a:solidFill>
                <a:schemeClr val="accent2"/>
              </a:solidFill>
              <a:round/>
            </a:ln>
            <a:effectLst/>
          </c:spPr>
          <c:marker>
            <c:symbol val="none"/>
          </c:marker>
          <c:cat>
            <c:numRef>
              <c:f>'Reliability Risk Hours'!$C$27:$M$27</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Hours'!$C$29:$M$29</c:f>
              <c:numCache>
                <c:formatCode>#,##0</c:formatCode>
                <c:ptCount val="11"/>
                <c:pt idx="0">
                  <c:v>64</c:v>
                </c:pt>
                <c:pt idx="1">
                  <c:v>121</c:v>
                </c:pt>
                <c:pt idx="2">
                  <c:v>134</c:v>
                </c:pt>
                <c:pt idx="3">
                  <c:v>157</c:v>
                </c:pt>
                <c:pt idx="4">
                  <c:v>184</c:v>
                </c:pt>
                <c:pt idx="5">
                  <c:v>135</c:v>
                </c:pt>
                <c:pt idx="6">
                  <c:v>14</c:v>
                </c:pt>
                <c:pt idx="7">
                  <c:v>47</c:v>
                </c:pt>
                <c:pt idx="8">
                  <c:v>38</c:v>
                </c:pt>
                <c:pt idx="9">
                  <c:v>53</c:v>
                </c:pt>
                <c:pt idx="10">
                  <c:v>2288</c:v>
                </c:pt>
              </c:numCache>
            </c:numRef>
          </c:val>
          <c:smooth val="0"/>
          <c:extLst>
            <c:ext xmlns:c16="http://schemas.microsoft.com/office/drawing/2014/chart" uri="{C3380CC4-5D6E-409C-BE32-E72D297353CC}">
              <c16:uniqueId val="{00000001-AE1B-4D48-8F85-857A2BF968EB}"/>
            </c:ext>
          </c:extLst>
        </c:ser>
        <c:ser>
          <c:idx val="2"/>
          <c:order val="2"/>
          <c:tx>
            <c:strRef>
              <c:f>'Reliability Risk Hours'!$B$30</c:f>
              <c:strCache>
                <c:ptCount val="1"/>
                <c:pt idx="0">
                  <c:v>16 - High Load Forecast</c:v>
                </c:pt>
              </c:strCache>
            </c:strRef>
          </c:tx>
          <c:spPr>
            <a:ln w="28575" cap="rnd">
              <a:solidFill>
                <a:schemeClr val="accent3"/>
              </a:solidFill>
              <a:round/>
            </a:ln>
            <a:effectLst/>
          </c:spPr>
          <c:marker>
            <c:symbol val="none"/>
          </c:marker>
          <c:cat>
            <c:numRef>
              <c:f>'Reliability Risk Hours'!$C$27:$M$27</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Hours'!$C$30:$M$30</c:f>
              <c:numCache>
                <c:formatCode>#,##0</c:formatCode>
                <c:ptCount val="11"/>
                <c:pt idx="0">
                  <c:v>64</c:v>
                </c:pt>
                <c:pt idx="1">
                  <c:v>121</c:v>
                </c:pt>
                <c:pt idx="2">
                  <c:v>134</c:v>
                </c:pt>
                <c:pt idx="3">
                  <c:v>157</c:v>
                </c:pt>
                <c:pt idx="4">
                  <c:v>184</c:v>
                </c:pt>
                <c:pt idx="5">
                  <c:v>135</c:v>
                </c:pt>
                <c:pt idx="6">
                  <c:v>14</c:v>
                </c:pt>
                <c:pt idx="7">
                  <c:v>47</c:v>
                </c:pt>
                <c:pt idx="8">
                  <c:v>62</c:v>
                </c:pt>
                <c:pt idx="9">
                  <c:v>58</c:v>
                </c:pt>
                <c:pt idx="10">
                  <c:v>71</c:v>
                </c:pt>
              </c:numCache>
            </c:numRef>
          </c:val>
          <c:smooth val="0"/>
          <c:extLst>
            <c:ext xmlns:c16="http://schemas.microsoft.com/office/drawing/2014/chart" uri="{C3380CC4-5D6E-409C-BE32-E72D297353CC}">
              <c16:uniqueId val="{00000002-AE1B-4D48-8F85-857A2BF968EB}"/>
            </c:ext>
          </c:extLst>
        </c:ser>
        <c:ser>
          <c:idx val="3"/>
          <c:order val="3"/>
          <c:tx>
            <c:strRef>
              <c:f>'Reliability Risk Hours'!$B$31</c:f>
              <c:strCache>
                <c:ptCount val="1"/>
                <c:pt idx="0">
                  <c:v>17 - High Load Forecast</c:v>
                </c:pt>
              </c:strCache>
            </c:strRef>
          </c:tx>
          <c:spPr>
            <a:ln w="28575" cap="rnd">
              <a:solidFill>
                <a:schemeClr val="accent4"/>
              </a:solidFill>
              <a:round/>
            </a:ln>
            <a:effectLst/>
          </c:spPr>
          <c:marker>
            <c:symbol val="none"/>
          </c:marker>
          <c:cat>
            <c:numRef>
              <c:f>'Reliability Risk Hours'!$C$27:$M$27</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Hours'!$C$31:$M$31</c:f>
              <c:numCache>
                <c:formatCode>#,##0</c:formatCode>
                <c:ptCount val="11"/>
                <c:pt idx="0">
                  <c:v>64</c:v>
                </c:pt>
                <c:pt idx="1">
                  <c:v>121</c:v>
                </c:pt>
                <c:pt idx="2">
                  <c:v>134</c:v>
                </c:pt>
                <c:pt idx="3">
                  <c:v>157</c:v>
                </c:pt>
                <c:pt idx="4">
                  <c:v>184</c:v>
                </c:pt>
                <c:pt idx="5">
                  <c:v>135</c:v>
                </c:pt>
                <c:pt idx="6">
                  <c:v>201</c:v>
                </c:pt>
                <c:pt idx="7">
                  <c:v>303</c:v>
                </c:pt>
                <c:pt idx="8">
                  <c:v>339</c:v>
                </c:pt>
                <c:pt idx="9">
                  <c:v>388</c:v>
                </c:pt>
                <c:pt idx="10">
                  <c:v>473</c:v>
                </c:pt>
              </c:numCache>
            </c:numRef>
          </c:val>
          <c:smooth val="0"/>
          <c:extLst>
            <c:ext xmlns:c16="http://schemas.microsoft.com/office/drawing/2014/chart" uri="{C3380CC4-5D6E-409C-BE32-E72D297353CC}">
              <c16:uniqueId val="{00000003-AE1B-4D48-8F85-857A2BF968EB}"/>
            </c:ext>
          </c:extLst>
        </c:ser>
        <c:dLbls>
          <c:showLegendKey val="0"/>
          <c:showVal val="0"/>
          <c:showCatName val="0"/>
          <c:showSerName val="0"/>
          <c:showPercent val="0"/>
          <c:showBubbleSize val="0"/>
        </c:dLbls>
        <c:smooth val="0"/>
        <c:axId val="900385104"/>
        <c:axId val="900385584"/>
      </c:lineChart>
      <c:catAx>
        <c:axId val="9003851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crossAx val="900385584"/>
        <c:crosses val="autoZero"/>
        <c:auto val="1"/>
        <c:lblAlgn val="ctr"/>
        <c:lblOffset val="100"/>
        <c:noMultiLvlLbl val="0"/>
      </c:catAx>
      <c:valAx>
        <c:axId val="9003855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chemeClr val="tx1">
                        <a:lumMod val="65000"/>
                        <a:lumOff val="35000"/>
                      </a:schemeClr>
                    </a:solidFill>
                    <a:latin typeface="Aptos" panose="020B0004020202020204" pitchFamily="34" charset="0"/>
                    <a:ea typeface="+mn-ea"/>
                    <a:cs typeface="+mn-cs"/>
                  </a:defRPr>
                </a:pPr>
                <a:r>
                  <a:rPr lang="en-US" sz="1200">
                    <a:latin typeface="Aptos" panose="020B0004020202020204" pitchFamily="34" charset="0"/>
                  </a:rPr>
                  <a:t>Reliability Risk Hours</a:t>
                </a:r>
              </a:p>
            </c:rich>
          </c:tx>
          <c:overlay val="0"/>
          <c:spPr>
            <a:noFill/>
            <a:ln>
              <a:noFill/>
            </a:ln>
            <a:effectLst/>
          </c:spPr>
          <c:txPr>
            <a:bodyPr rot="-5400000" spcFirstLastPara="1" vertOverflow="ellipsis" vert="horz" wrap="square" anchor="ctr" anchorCtr="1"/>
            <a:lstStyle/>
            <a:p>
              <a:pPr>
                <a:defRPr sz="12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crossAx val="90038510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Annual Reliability Risk Hours (P14-17)</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'Reliability Risk Hours'!$B$19</c:f>
              <c:strCache>
                <c:ptCount val="1"/>
                <c:pt idx="0">
                  <c:v>14</c:v>
                </c:pt>
              </c:strCache>
            </c:strRef>
          </c:tx>
          <c:spPr>
            <a:ln w="28575" cap="rnd">
              <a:solidFill>
                <a:schemeClr val="accent1"/>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Hours'!$C$19:$M$19</c:f>
              <c:numCache>
                <c:formatCode>#,##0</c:formatCode>
                <c:ptCount val="11"/>
                <c:pt idx="0">
                  <c:v>31</c:v>
                </c:pt>
                <c:pt idx="1">
                  <c:v>39</c:v>
                </c:pt>
                <c:pt idx="2">
                  <c:v>13</c:v>
                </c:pt>
                <c:pt idx="3">
                  <c:v>14</c:v>
                </c:pt>
                <c:pt idx="4">
                  <c:v>13</c:v>
                </c:pt>
                <c:pt idx="5">
                  <c:v>7</c:v>
                </c:pt>
                <c:pt idx="6">
                  <c:v>0</c:v>
                </c:pt>
                <c:pt idx="7">
                  <c:v>0</c:v>
                </c:pt>
                <c:pt idx="8">
                  <c:v>0</c:v>
                </c:pt>
                <c:pt idx="9">
                  <c:v>0</c:v>
                </c:pt>
                <c:pt idx="10">
                  <c:v>0</c:v>
                </c:pt>
              </c:numCache>
            </c:numRef>
          </c:val>
          <c:smooth val="0"/>
          <c:extLst>
            <c:ext xmlns:c16="http://schemas.microsoft.com/office/drawing/2014/chart" uri="{C3380CC4-5D6E-409C-BE32-E72D297353CC}">
              <c16:uniqueId val="{00000000-40DF-46A0-8CB4-6FD0E0A1D6C4}"/>
            </c:ext>
          </c:extLst>
        </c:ser>
        <c:ser>
          <c:idx val="1"/>
          <c:order val="1"/>
          <c:tx>
            <c:strRef>
              <c:f>'Reliability Risk Hours'!$B$20</c:f>
              <c:strCache>
                <c:ptCount val="1"/>
                <c:pt idx="0">
                  <c:v>15</c:v>
                </c:pt>
              </c:strCache>
            </c:strRef>
          </c:tx>
          <c:spPr>
            <a:ln w="28575" cap="rnd">
              <a:solidFill>
                <a:schemeClr val="accent2"/>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Hours'!$C$20:$M$20</c:f>
              <c:numCache>
                <c:formatCode>#,##0</c:formatCode>
                <c:ptCount val="11"/>
                <c:pt idx="0">
                  <c:v>27</c:v>
                </c:pt>
                <c:pt idx="1">
                  <c:v>35</c:v>
                </c:pt>
                <c:pt idx="2">
                  <c:v>19</c:v>
                </c:pt>
                <c:pt idx="3">
                  <c:v>15</c:v>
                </c:pt>
                <c:pt idx="4">
                  <c:v>5</c:v>
                </c:pt>
                <c:pt idx="5">
                  <c:v>3</c:v>
                </c:pt>
                <c:pt idx="6">
                  <c:v>0</c:v>
                </c:pt>
                <c:pt idx="7">
                  <c:v>0</c:v>
                </c:pt>
                <c:pt idx="8">
                  <c:v>0</c:v>
                </c:pt>
                <c:pt idx="9">
                  <c:v>0</c:v>
                </c:pt>
                <c:pt idx="10">
                  <c:v>267</c:v>
                </c:pt>
              </c:numCache>
            </c:numRef>
          </c:val>
          <c:smooth val="0"/>
          <c:extLst>
            <c:ext xmlns:c16="http://schemas.microsoft.com/office/drawing/2014/chart" uri="{C3380CC4-5D6E-409C-BE32-E72D297353CC}">
              <c16:uniqueId val="{00000001-40DF-46A0-8CB4-6FD0E0A1D6C4}"/>
            </c:ext>
          </c:extLst>
        </c:ser>
        <c:ser>
          <c:idx val="2"/>
          <c:order val="2"/>
          <c:tx>
            <c:strRef>
              <c:f>'Reliability Risk Hours'!$B$21</c:f>
              <c:strCache>
                <c:ptCount val="1"/>
                <c:pt idx="0">
                  <c:v>16</c:v>
                </c:pt>
              </c:strCache>
            </c:strRef>
          </c:tx>
          <c:spPr>
            <a:ln w="28575" cap="rnd">
              <a:solidFill>
                <a:schemeClr val="accent3"/>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Hours'!$C$21:$M$21</c:f>
              <c:numCache>
                <c:formatCode>#,##0</c:formatCode>
                <c:ptCount val="11"/>
                <c:pt idx="0">
                  <c:v>27</c:v>
                </c:pt>
                <c:pt idx="1">
                  <c:v>35</c:v>
                </c:pt>
                <c:pt idx="2">
                  <c:v>19</c:v>
                </c:pt>
                <c:pt idx="3">
                  <c:v>15</c:v>
                </c:pt>
                <c:pt idx="4">
                  <c:v>5</c:v>
                </c:pt>
                <c:pt idx="5">
                  <c:v>3</c:v>
                </c:pt>
                <c:pt idx="6">
                  <c:v>0</c:v>
                </c:pt>
                <c:pt idx="7">
                  <c:v>0</c:v>
                </c:pt>
                <c:pt idx="8">
                  <c:v>0</c:v>
                </c:pt>
                <c:pt idx="9">
                  <c:v>0</c:v>
                </c:pt>
                <c:pt idx="10">
                  <c:v>0</c:v>
                </c:pt>
              </c:numCache>
            </c:numRef>
          </c:val>
          <c:smooth val="0"/>
          <c:extLst>
            <c:ext xmlns:c16="http://schemas.microsoft.com/office/drawing/2014/chart" uri="{C3380CC4-5D6E-409C-BE32-E72D297353CC}">
              <c16:uniqueId val="{00000002-40DF-46A0-8CB4-6FD0E0A1D6C4}"/>
            </c:ext>
          </c:extLst>
        </c:ser>
        <c:ser>
          <c:idx val="3"/>
          <c:order val="3"/>
          <c:tx>
            <c:strRef>
              <c:f>'Reliability Risk Hours'!$B$22</c:f>
              <c:strCache>
                <c:ptCount val="1"/>
                <c:pt idx="0">
                  <c:v>17</c:v>
                </c:pt>
              </c:strCache>
            </c:strRef>
          </c:tx>
          <c:spPr>
            <a:ln w="28575" cap="rnd">
              <a:solidFill>
                <a:schemeClr val="accent4"/>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Hours'!$C$22:$M$22</c:f>
              <c:numCache>
                <c:formatCode>#,##0</c:formatCode>
                <c:ptCount val="11"/>
                <c:pt idx="0">
                  <c:v>27</c:v>
                </c:pt>
                <c:pt idx="1">
                  <c:v>35</c:v>
                </c:pt>
                <c:pt idx="2">
                  <c:v>19</c:v>
                </c:pt>
                <c:pt idx="3">
                  <c:v>15</c:v>
                </c:pt>
                <c:pt idx="4">
                  <c:v>5</c:v>
                </c:pt>
                <c:pt idx="5">
                  <c:v>3</c:v>
                </c:pt>
                <c:pt idx="6">
                  <c:v>2</c:v>
                </c:pt>
                <c:pt idx="7">
                  <c:v>5</c:v>
                </c:pt>
                <c:pt idx="8">
                  <c:v>1</c:v>
                </c:pt>
                <c:pt idx="9">
                  <c:v>1</c:v>
                </c:pt>
                <c:pt idx="10">
                  <c:v>2</c:v>
                </c:pt>
              </c:numCache>
            </c:numRef>
          </c:val>
          <c:smooth val="0"/>
          <c:extLst>
            <c:ext xmlns:c16="http://schemas.microsoft.com/office/drawing/2014/chart" uri="{C3380CC4-5D6E-409C-BE32-E72D297353CC}">
              <c16:uniqueId val="{00000003-40DF-46A0-8CB4-6FD0E0A1D6C4}"/>
            </c:ext>
          </c:extLst>
        </c:ser>
        <c:dLbls>
          <c:showLegendKey val="0"/>
          <c:showVal val="0"/>
          <c:showCatName val="0"/>
          <c:showSerName val="0"/>
          <c:showPercent val="0"/>
          <c:showBubbleSize val="0"/>
        </c:dLbls>
        <c:smooth val="0"/>
        <c:axId val="1116320911"/>
        <c:axId val="1116331951"/>
      </c:lineChart>
      <c:catAx>
        <c:axId val="111632091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crossAx val="1116331951"/>
        <c:crosses val="autoZero"/>
        <c:auto val="1"/>
        <c:lblAlgn val="ctr"/>
        <c:lblOffset val="100"/>
        <c:noMultiLvlLbl val="0"/>
      </c:catAx>
      <c:valAx>
        <c:axId val="111633195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chemeClr val="tx1">
                        <a:lumMod val="65000"/>
                        <a:lumOff val="35000"/>
                      </a:schemeClr>
                    </a:solidFill>
                    <a:latin typeface="Aptos" panose="020B0004020202020204" pitchFamily="34" charset="0"/>
                    <a:ea typeface="+mn-ea"/>
                    <a:cs typeface="+mn-cs"/>
                  </a:defRPr>
                </a:pPr>
                <a:r>
                  <a:rPr lang="en-US" sz="1200">
                    <a:latin typeface="Aptos" panose="020B0004020202020204" pitchFamily="34" charset="0"/>
                  </a:rPr>
                  <a:t>Reliability Risk Hours</a:t>
                </a:r>
              </a:p>
            </c:rich>
          </c:tx>
          <c:overlay val="0"/>
          <c:spPr>
            <a:noFill/>
            <a:ln>
              <a:noFill/>
            </a:ln>
            <a:effectLst/>
          </c:spPr>
          <c:txPr>
            <a:bodyPr rot="-5400000" spcFirstLastPara="1" vertOverflow="ellipsis" vert="horz" wrap="square" anchor="ctr" anchorCtr="1"/>
            <a:lstStyle/>
            <a:p>
              <a:pPr>
                <a:defRPr sz="12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crossAx val="111632091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2025-2035 Reliability Risk Hours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spPr>
            <a:solidFill>
              <a:schemeClr val="accent1"/>
            </a:solidFill>
            <a:ln>
              <a:noFill/>
            </a:ln>
            <a:effectLst/>
          </c:spPr>
          <c:invertIfNegative val="0"/>
          <c:cat>
            <c:numRef>
              <c:f>'Reliability Risk Hours'!$B$19:$B$22</c:f>
              <c:numCache>
                <c:formatCode>General</c:formatCode>
                <c:ptCount val="4"/>
                <c:pt idx="0">
                  <c:v>14</c:v>
                </c:pt>
                <c:pt idx="1">
                  <c:v>15</c:v>
                </c:pt>
                <c:pt idx="2">
                  <c:v>16</c:v>
                </c:pt>
                <c:pt idx="3">
                  <c:v>17</c:v>
                </c:pt>
              </c:numCache>
            </c:numRef>
          </c:cat>
          <c:val>
            <c:numRef>
              <c:f>'Reliability Risk Hours'!$N$19:$N$22</c:f>
              <c:numCache>
                <c:formatCode>#,##0</c:formatCode>
                <c:ptCount val="4"/>
                <c:pt idx="0">
                  <c:v>117</c:v>
                </c:pt>
                <c:pt idx="1">
                  <c:v>371</c:v>
                </c:pt>
                <c:pt idx="2">
                  <c:v>104</c:v>
                </c:pt>
                <c:pt idx="3">
                  <c:v>115</c:v>
                </c:pt>
              </c:numCache>
            </c:numRef>
          </c:val>
          <c:extLst>
            <c:ext xmlns:c16="http://schemas.microsoft.com/office/drawing/2014/chart" uri="{C3380CC4-5D6E-409C-BE32-E72D297353CC}">
              <c16:uniqueId val="{00000000-D88D-4060-A345-E347145959DE}"/>
            </c:ext>
          </c:extLst>
        </c:ser>
        <c:dLbls>
          <c:showLegendKey val="0"/>
          <c:showVal val="0"/>
          <c:showCatName val="0"/>
          <c:showSerName val="0"/>
          <c:showPercent val="0"/>
          <c:showBubbleSize val="0"/>
        </c:dLbls>
        <c:gapWidth val="219"/>
        <c:overlap val="-27"/>
        <c:axId val="23518623"/>
        <c:axId val="23521023"/>
      </c:barChart>
      <c:catAx>
        <c:axId val="2351862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3521023"/>
        <c:crosses val="autoZero"/>
        <c:auto val="1"/>
        <c:lblAlgn val="ctr"/>
        <c:lblOffset val="100"/>
        <c:noMultiLvlLbl val="0"/>
      </c:catAx>
      <c:valAx>
        <c:axId val="2352102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3518623"/>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P14 Reliability Risk Hours - Normal vs. High Load Growth Forecast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'Reliability Risk Hours'!$B$19</c:f>
              <c:strCache>
                <c:ptCount val="1"/>
                <c:pt idx="0">
                  <c:v>14</c:v>
                </c:pt>
              </c:strCache>
            </c:strRef>
          </c:tx>
          <c:spPr>
            <a:ln w="28575" cap="rnd">
              <a:solidFill>
                <a:schemeClr val="accent1"/>
              </a:solidFill>
              <a:round/>
            </a:ln>
            <a:effectLst/>
          </c:spPr>
          <c:marker>
            <c:symbol val="none"/>
          </c:marker>
          <c:cat>
            <c:numRef>
              <c:f>'Reliability Risk Hours'!$C$5:$M$5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Hours'!$C$19:$M$19</c:f>
              <c:numCache>
                <c:formatCode>#,##0</c:formatCode>
                <c:ptCount val="11"/>
                <c:pt idx="0">
                  <c:v>31</c:v>
                </c:pt>
                <c:pt idx="1">
                  <c:v>39</c:v>
                </c:pt>
                <c:pt idx="2">
                  <c:v>13</c:v>
                </c:pt>
                <c:pt idx="3">
                  <c:v>14</c:v>
                </c:pt>
                <c:pt idx="4">
                  <c:v>13</c:v>
                </c:pt>
                <c:pt idx="5">
                  <c:v>7</c:v>
                </c:pt>
                <c:pt idx="6">
                  <c:v>0</c:v>
                </c:pt>
                <c:pt idx="7">
                  <c:v>0</c:v>
                </c:pt>
                <c:pt idx="8">
                  <c:v>0</c:v>
                </c:pt>
                <c:pt idx="9">
                  <c:v>0</c:v>
                </c:pt>
                <c:pt idx="10">
                  <c:v>0</c:v>
                </c:pt>
              </c:numCache>
            </c:numRef>
          </c:val>
          <c:smooth val="0"/>
          <c:extLst>
            <c:ext xmlns:c16="http://schemas.microsoft.com/office/drawing/2014/chart" uri="{C3380CC4-5D6E-409C-BE32-E72D297353CC}">
              <c16:uniqueId val="{00000000-84CA-4ED7-952A-2E2BF3D8EF17}"/>
            </c:ext>
          </c:extLst>
        </c:ser>
        <c:ser>
          <c:idx val="1"/>
          <c:order val="1"/>
          <c:tx>
            <c:strRef>
              <c:f>'Reliability Risk Hours'!$B$28</c:f>
              <c:strCache>
                <c:ptCount val="1"/>
                <c:pt idx="0">
                  <c:v>14 - High Load Forecast</c:v>
                </c:pt>
              </c:strCache>
            </c:strRef>
          </c:tx>
          <c:spPr>
            <a:ln w="28575" cap="rnd">
              <a:solidFill>
                <a:schemeClr val="accent2"/>
              </a:solidFill>
              <a:round/>
            </a:ln>
            <a:effectLst/>
          </c:spPr>
          <c:marker>
            <c:symbol val="none"/>
          </c:marker>
          <c:val>
            <c:numRef>
              <c:f>'Reliability Risk Hours'!$C$28:$M$28</c:f>
              <c:numCache>
                <c:formatCode>#,##0</c:formatCode>
                <c:ptCount val="11"/>
                <c:pt idx="0">
                  <c:v>78</c:v>
                </c:pt>
                <c:pt idx="1">
                  <c:v>182</c:v>
                </c:pt>
                <c:pt idx="2">
                  <c:v>99</c:v>
                </c:pt>
                <c:pt idx="3">
                  <c:v>162</c:v>
                </c:pt>
                <c:pt idx="4">
                  <c:v>217</c:v>
                </c:pt>
                <c:pt idx="5">
                  <c:v>193</c:v>
                </c:pt>
                <c:pt idx="6">
                  <c:v>37</c:v>
                </c:pt>
                <c:pt idx="7">
                  <c:v>76</c:v>
                </c:pt>
                <c:pt idx="8">
                  <c:v>124</c:v>
                </c:pt>
                <c:pt idx="9">
                  <c:v>214</c:v>
                </c:pt>
                <c:pt idx="10">
                  <c:v>283</c:v>
                </c:pt>
              </c:numCache>
            </c:numRef>
          </c:val>
          <c:smooth val="0"/>
          <c:extLst>
            <c:ext xmlns:c16="http://schemas.microsoft.com/office/drawing/2014/chart" uri="{C3380CC4-5D6E-409C-BE32-E72D297353CC}">
              <c16:uniqueId val="{00000001-84CA-4ED7-952A-2E2BF3D8EF17}"/>
            </c:ext>
          </c:extLst>
        </c:ser>
        <c:dLbls>
          <c:showLegendKey val="0"/>
          <c:showVal val="0"/>
          <c:showCatName val="0"/>
          <c:showSerName val="0"/>
          <c:showPercent val="0"/>
          <c:showBubbleSize val="0"/>
        </c:dLbls>
        <c:smooth val="0"/>
        <c:axId val="86973199"/>
        <c:axId val="86944879"/>
      </c:lineChart>
      <c:catAx>
        <c:axId val="8697319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6944879"/>
        <c:crosses val="autoZero"/>
        <c:auto val="1"/>
        <c:lblAlgn val="ctr"/>
        <c:lblOffset val="100"/>
        <c:noMultiLvlLbl val="0"/>
      </c:catAx>
      <c:valAx>
        <c:axId val="86944879"/>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Reliability Risk Hours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6973199"/>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P15 Reliability Risk Hours - Normal vs. High Load Growth Forecast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'Reliability Risk Hours'!$B$20</c:f>
              <c:strCache>
                <c:ptCount val="1"/>
                <c:pt idx="0">
                  <c:v>15</c:v>
                </c:pt>
              </c:strCache>
            </c:strRef>
          </c:tx>
          <c:spPr>
            <a:ln w="28575" cap="rnd">
              <a:solidFill>
                <a:schemeClr val="accent1"/>
              </a:solidFill>
              <a:round/>
            </a:ln>
            <a:effectLst/>
          </c:spPr>
          <c:marker>
            <c:symbol val="none"/>
          </c:marker>
          <c:cat>
            <c:numRef>
              <c:f>'Reliability Risk Hours'!$C$27:$M$27</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Hours'!$C$20:$M$20</c:f>
              <c:numCache>
                <c:formatCode>#,##0</c:formatCode>
                <c:ptCount val="11"/>
                <c:pt idx="0">
                  <c:v>27</c:v>
                </c:pt>
                <c:pt idx="1">
                  <c:v>35</c:v>
                </c:pt>
                <c:pt idx="2">
                  <c:v>19</c:v>
                </c:pt>
                <c:pt idx="3">
                  <c:v>15</c:v>
                </c:pt>
                <c:pt idx="4">
                  <c:v>5</c:v>
                </c:pt>
                <c:pt idx="5">
                  <c:v>3</c:v>
                </c:pt>
                <c:pt idx="6">
                  <c:v>0</c:v>
                </c:pt>
                <c:pt idx="7">
                  <c:v>0</c:v>
                </c:pt>
                <c:pt idx="8">
                  <c:v>0</c:v>
                </c:pt>
                <c:pt idx="9">
                  <c:v>0</c:v>
                </c:pt>
                <c:pt idx="10">
                  <c:v>267</c:v>
                </c:pt>
              </c:numCache>
            </c:numRef>
          </c:val>
          <c:smooth val="0"/>
          <c:extLst>
            <c:ext xmlns:c16="http://schemas.microsoft.com/office/drawing/2014/chart" uri="{C3380CC4-5D6E-409C-BE32-E72D297353CC}">
              <c16:uniqueId val="{00000000-C1FA-4EAA-9DF0-89B6278FD4CD}"/>
            </c:ext>
          </c:extLst>
        </c:ser>
        <c:ser>
          <c:idx val="1"/>
          <c:order val="1"/>
          <c:tx>
            <c:strRef>
              <c:f>'Reliability Risk Hours'!$B$29</c:f>
              <c:strCache>
                <c:ptCount val="1"/>
                <c:pt idx="0">
                  <c:v>15 - High Load Forecast</c:v>
                </c:pt>
              </c:strCache>
            </c:strRef>
          </c:tx>
          <c:spPr>
            <a:ln w="28575" cap="rnd">
              <a:solidFill>
                <a:schemeClr val="accent2"/>
              </a:solidFill>
              <a:round/>
            </a:ln>
            <a:effectLst/>
          </c:spPr>
          <c:marker>
            <c:symbol val="none"/>
          </c:marker>
          <c:cat>
            <c:numRef>
              <c:f>'Reliability Risk Hours'!$C$27:$M$27</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Hours'!$C$29:$M$29</c:f>
              <c:numCache>
                <c:formatCode>#,##0</c:formatCode>
                <c:ptCount val="11"/>
                <c:pt idx="0">
                  <c:v>64</c:v>
                </c:pt>
                <c:pt idx="1">
                  <c:v>121</c:v>
                </c:pt>
                <c:pt idx="2">
                  <c:v>134</c:v>
                </c:pt>
                <c:pt idx="3">
                  <c:v>157</c:v>
                </c:pt>
                <c:pt idx="4">
                  <c:v>184</c:v>
                </c:pt>
                <c:pt idx="5">
                  <c:v>135</c:v>
                </c:pt>
                <c:pt idx="6">
                  <c:v>14</c:v>
                </c:pt>
                <c:pt idx="7">
                  <c:v>47</c:v>
                </c:pt>
                <c:pt idx="8">
                  <c:v>38</c:v>
                </c:pt>
                <c:pt idx="9">
                  <c:v>53</c:v>
                </c:pt>
                <c:pt idx="10">
                  <c:v>2288</c:v>
                </c:pt>
              </c:numCache>
            </c:numRef>
          </c:val>
          <c:smooth val="0"/>
          <c:extLst>
            <c:ext xmlns:c16="http://schemas.microsoft.com/office/drawing/2014/chart" uri="{C3380CC4-5D6E-409C-BE32-E72D297353CC}">
              <c16:uniqueId val="{00000001-C1FA-4EAA-9DF0-89B6278FD4CD}"/>
            </c:ext>
          </c:extLst>
        </c:ser>
        <c:dLbls>
          <c:showLegendKey val="0"/>
          <c:showVal val="0"/>
          <c:showCatName val="0"/>
          <c:showSerName val="0"/>
          <c:showPercent val="0"/>
          <c:showBubbleSize val="0"/>
        </c:dLbls>
        <c:smooth val="0"/>
        <c:axId val="86973199"/>
        <c:axId val="86944879"/>
      </c:lineChart>
      <c:catAx>
        <c:axId val="8697319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6944879"/>
        <c:crosses val="autoZero"/>
        <c:auto val="1"/>
        <c:lblAlgn val="ctr"/>
        <c:lblOffset val="100"/>
        <c:noMultiLvlLbl val="0"/>
      </c:catAx>
      <c:valAx>
        <c:axId val="86944879"/>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Reliability Risk Hours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6973199"/>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P16 Reliability Risk Hours - Normal vs. High Load Growth Forecast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'Reliability Risk Hours'!$B$21</c:f>
              <c:strCache>
                <c:ptCount val="1"/>
                <c:pt idx="0">
                  <c:v>16</c:v>
                </c:pt>
              </c:strCache>
            </c:strRef>
          </c:tx>
          <c:spPr>
            <a:ln w="28575" cap="rnd">
              <a:solidFill>
                <a:schemeClr val="accent1"/>
              </a:solidFill>
              <a:round/>
            </a:ln>
            <a:effectLst/>
          </c:spPr>
          <c:marker>
            <c:symbol val="none"/>
          </c:marker>
          <c:cat>
            <c:numRef>
              <c:f>'Reliability Risk Hours'!$C$27:$M$27</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Hours'!$C$21:$M$21</c:f>
              <c:numCache>
                <c:formatCode>#,##0</c:formatCode>
                <c:ptCount val="11"/>
                <c:pt idx="0">
                  <c:v>27</c:v>
                </c:pt>
                <c:pt idx="1">
                  <c:v>35</c:v>
                </c:pt>
                <c:pt idx="2">
                  <c:v>19</c:v>
                </c:pt>
                <c:pt idx="3">
                  <c:v>15</c:v>
                </c:pt>
                <c:pt idx="4">
                  <c:v>5</c:v>
                </c:pt>
                <c:pt idx="5">
                  <c:v>3</c:v>
                </c:pt>
                <c:pt idx="6">
                  <c:v>0</c:v>
                </c:pt>
                <c:pt idx="7">
                  <c:v>0</c:v>
                </c:pt>
                <c:pt idx="8">
                  <c:v>0</c:v>
                </c:pt>
                <c:pt idx="9">
                  <c:v>0</c:v>
                </c:pt>
                <c:pt idx="10">
                  <c:v>0</c:v>
                </c:pt>
              </c:numCache>
            </c:numRef>
          </c:val>
          <c:smooth val="0"/>
          <c:extLst>
            <c:ext xmlns:c16="http://schemas.microsoft.com/office/drawing/2014/chart" uri="{C3380CC4-5D6E-409C-BE32-E72D297353CC}">
              <c16:uniqueId val="{00000000-6231-4A85-81EB-692E3D4CA653}"/>
            </c:ext>
          </c:extLst>
        </c:ser>
        <c:ser>
          <c:idx val="1"/>
          <c:order val="1"/>
          <c:tx>
            <c:strRef>
              <c:f>'Reliability Risk Hours'!$B$30</c:f>
              <c:strCache>
                <c:ptCount val="1"/>
                <c:pt idx="0">
                  <c:v>16 - High Load Forecast</c:v>
                </c:pt>
              </c:strCache>
            </c:strRef>
          </c:tx>
          <c:spPr>
            <a:ln w="28575" cap="rnd">
              <a:solidFill>
                <a:schemeClr val="accent2"/>
              </a:solidFill>
              <a:round/>
            </a:ln>
            <a:effectLst/>
          </c:spPr>
          <c:marker>
            <c:symbol val="none"/>
          </c:marker>
          <c:cat>
            <c:numRef>
              <c:f>'Reliability Risk Hours'!$C$27:$M$27</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Hours'!$C$30:$M$30</c:f>
              <c:numCache>
                <c:formatCode>#,##0</c:formatCode>
                <c:ptCount val="11"/>
                <c:pt idx="0">
                  <c:v>64</c:v>
                </c:pt>
                <c:pt idx="1">
                  <c:v>121</c:v>
                </c:pt>
                <c:pt idx="2">
                  <c:v>134</c:v>
                </c:pt>
                <c:pt idx="3">
                  <c:v>157</c:v>
                </c:pt>
                <c:pt idx="4">
                  <c:v>184</c:v>
                </c:pt>
                <c:pt idx="5">
                  <c:v>135</c:v>
                </c:pt>
                <c:pt idx="6">
                  <c:v>14</c:v>
                </c:pt>
                <c:pt idx="7">
                  <c:v>47</c:v>
                </c:pt>
                <c:pt idx="8">
                  <c:v>62</c:v>
                </c:pt>
                <c:pt idx="9">
                  <c:v>58</c:v>
                </c:pt>
                <c:pt idx="10">
                  <c:v>71</c:v>
                </c:pt>
              </c:numCache>
            </c:numRef>
          </c:val>
          <c:smooth val="0"/>
          <c:extLst>
            <c:ext xmlns:c16="http://schemas.microsoft.com/office/drawing/2014/chart" uri="{C3380CC4-5D6E-409C-BE32-E72D297353CC}">
              <c16:uniqueId val="{00000001-6231-4A85-81EB-692E3D4CA653}"/>
            </c:ext>
          </c:extLst>
        </c:ser>
        <c:dLbls>
          <c:showLegendKey val="0"/>
          <c:showVal val="0"/>
          <c:showCatName val="0"/>
          <c:showSerName val="0"/>
          <c:showPercent val="0"/>
          <c:showBubbleSize val="0"/>
        </c:dLbls>
        <c:smooth val="0"/>
        <c:axId val="86973199"/>
        <c:axId val="86944879"/>
      </c:lineChart>
      <c:catAx>
        <c:axId val="8697319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6944879"/>
        <c:crosses val="autoZero"/>
        <c:auto val="1"/>
        <c:lblAlgn val="ctr"/>
        <c:lblOffset val="100"/>
        <c:noMultiLvlLbl val="0"/>
      </c:catAx>
      <c:valAx>
        <c:axId val="86944879"/>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Reliability Risk Hours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6973199"/>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P17 Reliability Risk Hours - Normal vs. High Load Growth Forecast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'Reliability Risk Hours'!$B$22</c:f>
              <c:strCache>
                <c:ptCount val="1"/>
                <c:pt idx="0">
                  <c:v>17</c:v>
                </c:pt>
              </c:strCache>
            </c:strRef>
          </c:tx>
          <c:spPr>
            <a:ln w="28575" cap="rnd">
              <a:solidFill>
                <a:schemeClr val="accent1"/>
              </a:solidFill>
              <a:round/>
            </a:ln>
            <a:effectLst/>
          </c:spPr>
          <c:marker>
            <c:symbol val="none"/>
          </c:marker>
          <c:cat>
            <c:numRef>
              <c:f>'Reliability Risk Hours'!$C$27:$M$27</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Hours'!$C$22:$M$22</c:f>
              <c:numCache>
                <c:formatCode>#,##0</c:formatCode>
                <c:ptCount val="11"/>
                <c:pt idx="0">
                  <c:v>27</c:v>
                </c:pt>
                <c:pt idx="1">
                  <c:v>35</c:v>
                </c:pt>
                <c:pt idx="2">
                  <c:v>19</c:v>
                </c:pt>
                <c:pt idx="3">
                  <c:v>15</c:v>
                </c:pt>
                <c:pt idx="4">
                  <c:v>5</c:v>
                </c:pt>
                <c:pt idx="5">
                  <c:v>3</c:v>
                </c:pt>
                <c:pt idx="6">
                  <c:v>2</c:v>
                </c:pt>
                <c:pt idx="7">
                  <c:v>5</c:v>
                </c:pt>
                <c:pt idx="8">
                  <c:v>1</c:v>
                </c:pt>
                <c:pt idx="9">
                  <c:v>1</c:v>
                </c:pt>
                <c:pt idx="10">
                  <c:v>2</c:v>
                </c:pt>
              </c:numCache>
            </c:numRef>
          </c:val>
          <c:smooth val="0"/>
          <c:extLst>
            <c:ext xmlns:c16="http://schemas.microsoft.com/office/drawing/2014/chart" uri="{C3380CC4-5D6E-409C-BE32-E72D297353CC}">
              <c16:uniqueId val="{00000000-8461-4A31-8D2C-A6D919FB92D1}"/>
            </c:ext>
          </c:extLst>
        </c:ser>
        <c:ser>
          <c:idx val="1"/>
          <c:order val="1"/>
          <c:tx>
            <c:strRef>
              <c:f>'Reliability Risk Hours'!$B$31</c:f>
              <c:strCache>
                <c:ptCount val="1"/>
                <c:pt idx="0">
                  <c:v>17 - High Load Forecast</c:v>
                </c:pt>
              </c:strCache>
            </c:strRef>
          </c:tx>
          <c:spPr>
            <a:ln w="28575" cap="rnd">
              <a:solidFill>
                <a:schemeClr val="accent2"/>
              </a:solidFill>
              <a:round/>
            </a:ln>
            <a:effectLst/>
          </c:spPr>
          <c:marker>
            <c:symbol val="none"/>
          </c:marker>
          <c:cat>
            <c:numRef>
              <c:f>'Reliability Risk Hours'!$C$27:$M$27</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'Reliability Risk Hours'!$C$31:$M$31</c:f>
              <c:numCache>
                <c:formatCode>#,##0</c:formatCode>
                <c:ptCount val="11"/>
                <c:pt idx="0">
                  <c:v>64</c:v>
                </c:pt>
                <c:pt idx="1">
                  <c:v>121</c:v>
                </c:pt>
                <c:pt idx="2">
                  <c:v>134</c:v>
                </c:pt>
                <c:pt idx="3">
                  <c:v>157</c:v>
                </c:pt>
                <c:pt idx="4">
                  <c:v>184</c:v>
                </c:pt>
                <c:pt idx="5">
                  <c:v>135</c:v>
                </c:pt>
                <c:pt idx="6">
                  <c:v>201</c:v>
                </c:pt>
                <c:pt idx="7">
                  <c:v>303</c:v>
                </c:pt>
                <c:pt idx="8">
                  <c:v>339</c:v>
                </c:pt>
                <c:pt idx="9">
                  <c:v>388</c:v>
                </c:pt>
                <c:pt idx="10">
                  <c:v>473</c:v>
                </c:pt>
              </c:numCache>
            </c:numRef>
          </c:val>
          <c:smooth val="0"/>
          <c:extLst>
            <c:ext xmlns:c16="http://schemas.microsoft.com/office/drawing/2014/chart" uri="{C3380CC4-5D6E-409C-BE32-E72D297353CC}">
              <c16:uniqueId val="{00000001-8461-4A31-8D2C-A6D919FB92D1}"/>
            </c:ext>
          </c:extLst>
        </c:ser>
        <c:dLbls>
          <c:showLegendKey val="0"/>
          <c:showVal val="0"/>
          <c:showCatName val="0"/>
          <c:showSerName val="0"/>
          <c:showPercent val="0"/>
          <c:showBubbleSize val="0"/>
        </c:dLbls>
        <c:smooth val="0"/>
        <c:axId val="86973199"/>
        <c:axId val="86944879"/>
      </c:lineChart>
      <c:catAx>
        <c:axId val="8697319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6944879"/>
        <c:crosses val="autoZero"/>
        <c:auto val="1"/>
        <c:lblAlgn val="ctr"/>
        <c:lblOffset val="100"/>
        <c:noMultiLvlLbl val="0"/>
      </c:catAx>
      <c:valAx>
        <c:axId val="86944879"/>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Reliability Risk Hours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6973199"/>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CO</a:t>
            </a:r>
            <a:r>
              <a:rPr lang="en-US" baseline="-25000"/>
              <a:t>2</a:t>
            </a:r>
            <a:r>
              <a:rPr lang="en-US"/>
              <a:t> Emissions </a:t>
            </a:r>
            <a:r>
              <a:rPr lang="en-US" baseline="0"/>
              <a:t> (Million Metric Tons)</a:t>
            </a:r>
          </a:p>
          <a:p>
            <a:pPr>
              <a:defRPr/>
            </a:pPr>
            <a:r>
              <a:rPr lang="en-US" baseline="0"/>
              <a:t>2025-2035</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'P14-17 Emissions'!$B$40</c:f>
              <c:strCache>
                <c:ptCount val="1"/>
                <c:pt idx="0">
                  <c:v>CO2</c:v>
                </c:pt>
              </c:strCache>
            </c:strRef>
          </c:tx>
          <c:spPr>
            <a:solidFill>
              <a:schemeClr val="accent1"/>
            </a:solidFill>
            <a:ln>
              <a:noFill/>
            </a:ln>
            <a:effectLst/>
          </c:spPr>
          <c:invertIfNegative val="0"/>
          <c:dPt>
            <c:idx val="2"/>
            <c:invertIfNegative val="0"/>
            <c:bubble3D val="0"/>
            <c:spPr>
              <a:solidFill>
                <a:schemeClr val="accent1"/>
              </a:solidFill>
              <a:ln>
                <a:noFill/>
              </a:ln>
              <a:effectLst/>
            </c:spPr>
            <c:extLst>
              <c:ext xmlns:c16="http://schemas.microsoft.com/office/drawing/2014/chart" uri="{C3380CC4-5D6E-409C-BE32-E72D297353CC}">
                <c16:uniqueId val="{00000001-210B-4F23-A405-4C41A87A9A71}"/>
              </c:ext>
            </c:extLst>
          </c:dPt>
          <c:dPt>
            <c:idx val="4"/>
            <c:invertIfNegative val="0"/>
            <c:bubble3D val="0"/>
            <c:spPr>
              <a:solidFill>
                <a:schemeClr val="accent1"/>
              </a:solidFill>
              <a:ln>
                <a:noFill/>
              </a:ln>
              <a:effectLst/>
            </c:spPr>
            <c:extLst>
              <c:ext xmlns:c16="http://schemas.microsoft.com/office/drawing/2014/chart" uri="{C3380CC4-5D6E-409C-BE32-E72D297353CC}">
                <c16:uniqueId val="{00000003-210B-4F23-A405-4C41A87A9A71}"/>
              </c:ext>
            </c:extLst>
          </c:dPt>
          <c:dPt>
            <c:idx val="5"/>
            <c:invertIfNegative val="0"/>
            <c:bubble3D val="0"/>
            <c:spPr>
              <a:solidFill>
                <a:schemeClr val="accent1"/>
              </a:solidFill>
              <a:ln>
                <a:noFill/>
              </a:ln>
              <a:effectLst/>
            </c:spPr>
            <c:extLst>
              <c:ext xmlns:c16="http://schemas.microsoft.com/office/drawing/2014/chart" uri="{C3380CC4-5D6E-409C-BE32-E72D297353CC}">
                <c16:uniqueId val="{00000005-210B-4F23-A405-4C41A87A9A71}"/>
              </c:ext>
            </c:extLst>
          </c:dPt>
          <c:dPt>
            <c:idx val="10"/>
            <c:invertIfNegative val="0"/>
            <c:bubble3D val="0"/>
            <c:spPr>
              <a:solidFill>
                <a:schemeClr val="accent1"/>
              </a:solidFill>
              <a:ln>
                <a:noFill/>
              </a:ln>
              <a:effectLst/>
            </c:spPr>
            <c:extLst>
              <c:ext xmlns:c16="http://schemas.microsoft.com/office/drawing/2014/chart" uri="{C3380CC4-5D6E-409C-BE32-E72D297353CC}">
                <c16:uniqueId val="{00000007-210B-4F23-A405-4C41A87A9A71}"/>
              </c:ext>
            </c:extLst>
          </c:dPt>
          <c:cat>
            <c:numRef>
              <c:f>'P14-17 Emissions'!$A$41:$A$57</c:f>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'P14-17 Emissions'!$B$41:$B$57</c:f>
              <c:numCache>
                <c:formatCode>_(* #,##0.0_);_(* \(#,##0.0\);_(* "-"??_);_(@_)</c:formatCode>
                <c:ptCount val="17"/>
                <c:pt idx="0">
                  <c:v>14.3</c:v>
                </c:pt>
                <c:pt idx="1">
                  <c:v>5.8</c:v>
                </c:pt>
                <c:pt idx="2">
                  <c:v>26.6</c:v>
                </c:pt>
                <c:pt idx="3">
                  <c:v>40.4</c:v>
                </c:pt>
                <c:pt idx="4">
                  <c:v>5.8</c:v>
                </c:pt>
                <c:pt idx="5">
                  <c:v>5.7</c:v>
                </c:pt>
                <c:pt idx="6">
                  <c:v>5.6</c:v>
                </c:pt>
                <c:pt idx="7">
                  <c:v>9</c:v>
                </c:pt>
                <c:pt idx="8">
                  <c:v>8.1999999999999993</c:v>
                </c:pt>
                <c:pt idx="9">
                  <c:v>6.3</c:v>
                </c:pt>
                <c:pt idx="10">
                  <c:v>24.5</c:v>
                </c:pt>
                <c:pt idx="11">
                  <c:v>4.3</c:v>
                </c:pt>
                <c:pt idx="12">
                  <c:v>4.4000000000000004</c:v>
                </c:pt>
                <c:pt idx="13">
                  <c:v>6.786094529619886</c:v>
                </c:pt>
                <c:pt idx="14">
                  <c:v>4.2</c:v>
                </c:pt>
                <c:pt idx="15">
                  <c:v>4.8</c:v>
                </c:pt>
                <c:pt idx="16">
                  <c:v>4.9000000000000004</c:v>
                </c:pt>
              </c:numCache>
            </c:numRef>
          </c:val>
          <c:extLst>
            <c:ext xmlns:c16="http://schemas.microsoft.com/office/drawing/2014/chart" uri="{C3380CC4-5D6E-409C-BE32-E72D297353CC}">
              <c16:uniqueId val="{00000008-210B-4F23-A405-4C41A87A9A71}"/>
            </c:ext>
          </c:extLst>
        </c:ser>
        <c:dLbls>
          <c:showLegendKey val="0"/>
          <c:showVal val="0"/>
          <c:showCatName val="0"/>
          <c:showSerName val="0"/>
          <c:showPercent val="0"/>
          <c:showBubbleSize val="0"/>
        </c:dLbls>
        <c:gapWidth val="150"/>
        <c:overlap val="100"/>
        <c:axId val="1271311887"/>
        <c:axId val="1271312367"/>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Millions Metric Tons CO2</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_(* #,##0.0_);_(* \(#,##0.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Modeled AE Stack CO</a:t>
            </a:r>
            <a:r>
              <a:rPr lang="en-US" baseline="-25000"/>
              <a:t>2</a:t>
            </a:r>
            <a:r>
              <a:rPr lang="en-US"/>
              <a:t> Emissions by Year vs. Historical</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'P14-17 Emissions'!$A$7</c:f>
              <c:strCache>
                <c:ptCount val="1"/>
                <c:pt idx="0">
                  <c:v>Historical</c:v>
                </c:pt>
              </c:strCache>
            </c:strRef>
          </c:tx>
          <c:spPr>
            <a:ln w="28575" cap="rnd">
              <a:solidFill>
                <a:schemeClr val="tx1"/>
              </a:solidFill>
              <a:prstDash val="sysDot"/>
              <a:round/>
            </a:ln>
            <a:effectLst/>
          </c:spPr>
          <c:marker>
            <c:symbol val="none"/>
          </c:marker>
          <c:cat>
            <c:numRef>
              <c:f>'P14-17 Emissions'!$B$6:$AF$6</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'P14-17 Emissions'!$B$7:$AF$7</c:f>
              <c:numCache>
                <c:formatCode>_(* #,##0_);_(* \(#,##0\);_(* "-"??_);_(@_)</c:formatCode>
                <c:ptCount val="31"/>
                <c:pt idx="0">
                  <c:v>5538227.0540343374</c:v>
                </c:pt>
                <c:pt idx="1">
                  <c:v>5424337.4368431848</c:v>
                </c:pt>
                <c:pt idx="2">
                  <c:v>6064444.2869218951</c:v>
                </c:pt>
                <c:pt idx="3">
                  <c:v>5854338.0868445672</c:v>
                </c:pt>
                <c:pt idx="4">
                  <c:v>5468898.044364851</c:v>
                </c:pt>
                <c:pt idx="5">
                  <c:v>5083094.3890962563</c:v>
                </c:pt>
                <c:pt idx="6">
                  <c:v>5815870.8990202267</c:v>
                </c:pt>
                <c:pt idx="7">
                  <c:v>4619034.8807221493</c:v>
                </c:pt>
                <c:pt idx="8">
                  <c:v>4859501.7675347999</c:v>
                </c:pt>
                <c:pt idx="9">
                  <c:v>4288942.8142535202</c:v>
                </c:pt>
                <c:pt idx="10">
                  <c:v>4432697.9632721627</c:v>
                </c:pt>
                <c:pt idx="11">
                  <c:v>4710300.8171966393</c:v>
                </c:pt>
                <c:pt idx="12">
                  <c:v>5151368.7766072359</c:v>
                </c:pt>
                <c:pt idx="13">
                  <c:v>5353632.8</c:v>
                </c:pt>
                <c:pt idx="14">
                  <c:v>4418950.1100551728</c:v>
                </c:pt>
                <c:pt idx="15">
                  <c:v>4476372.4399814997</c:v>
                </c:pt>
                <c:pt idx="16">
                  <c:v>4438116.7082320005</c:v>
                </c:pt>
                <c:pt idx="17">
                  <c:v>3541928.1749746399</c:v>
                </c:pt>
                <c:pt idx="18">
                  <c:v>2709373.7094859798</c:v>
                </c:pt>
              </c:numCache>
            </c:numRef>
          </c:val>
          <c:smooth val="0"/>
          <c:extLst>
            <c:ext xmlns:c16="http://schemas.microsoft.com/office/drawing/2014/chart" uri="{C3380CC4-5D6E-409C-BE32-E72D297353CC}">
              <c16:uniqueId val="{00000000-CB7E-4119-9139-F05ADB70F4CE}"/>
            </c:ext>
          </c:extLst>
        </c:ser>
        <c:ser>
          <c:idx val="14"/>
          <c:order val="1"/>
          <c:tx>
            <c:v>14</c:v>
          </c:tx>
          <c:spPr>
            <a:ln w="28575" cap="rnd">
              <a:solidFill>
                <a:schemeClr val="accent3">
                  <a:lumMod val="80000"/>
                  <a:lumOff val="20000"/>
                </a:schemeClr>
              </a:solidFill>
              <a:round/>
            </a:ln>
            <a:effectLst/>
          </c:spPr>
          <c:marker>
            <c:symbol val="none"/>
          </c:marker>
          <c:cat>
            <c:numRef>
              <c:f>'P14-17 Emissions'!$B$6:$AF$6</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'P14-17 Emissions'!$B$8:$AF$8</c:f>
              <c:numCache>
                <c:formatCode>General</c:formatCode>
                <c:ptCount val="31"/>
                <c:pt idx="18" formatCode="_(* #,##0_);_(* \(#,##0\);_(* &quot;-&quot;??_);_(@_)">
                  <c:v>2709373.7094859798</c:v>
                </c:pt>
                <c:pt idx="19" formatCode="_(* #,##0_);_(* \(#,##0\);_(* &quot;-&quot;??_);_(@_)">
                  <c:v>2700000</c:v>
                </c:pt>
                <c:pt idx="20" formatCode="#,##0">
                  <c:v>411085.4576793976</c:v>
                </c:pt>
                <c:pt idx="21" formatCode="#,##0">
                  <c:v>475710.78653724032</c:v>
                </c:pt>
                <c:pt idx="22" formatCode="#,##0">
                  <c:v>527555.56563548942</c:v>
                </c:pt>
                <c:pt idx="23" formatCode="#,##0">
                  <c:v>542899.84577701171</c:v>
                </c:pt>
                <c:pt idx="24" formatCode="#,##0">
                  <c:v>556870.18053161574</c:v>
                </c:pt>
                <c:pt idx="25" formatCode="#,##0">
                  <c:v>610146.51183888235</c:v>
                </c:pt>
                <c:pt idx="26" formatCode="#,##0">
                  <c:v>672348.27179533709</c:v>
                </c:pt>
                <c:pt idx="27" formatCode="#,##0">
                  <c:v>713986.21065045812</c:v>
                </c:pt>
                <c:pt idx="28" formatCode="#,##0">
                  <c:v>767266.17073392007</c:v>
                </c:pt>
                <c:pt idx="29" formatCode="#,##0">
                  <c:v>756211.55765218183</c:v>
                </c:pt>
                <c:pt idx="30" formatCode="#,##0">
                  <c:v>752013.97078835173</c:v>
                </c:pt>
              </c:numCache>
            </c:numRef>
          </c:val>
          <c:smooth val="0"/>
          <c:extLst>
            <c:ext xmlns:c16="http://schemas.microsoft.com/office/drawing/2014/chart" uri="{C3380CC4-5D6E-409C-BE32-E72D297353CC}">
              <c16:uniqueId val="{00000001-CB7E-4119-9139-F05ADB70F4CE}"/>
            </c:ext>
          </c:extLst>
        </c:ser>
        <c:ser>
          <c:idx val="15"/>
          <c:order val="2"/>
          <c:tx>
            <c:v>15</c:v>
          </c:tx>
          <c:spPr>
            <a:ln w="28575" cap="rnd">
              <a:solidFill>
                <a:schemeClr val="accent4">
                  <a:lumMod val="80000"/>
                  <a:lumOff val="20000"/>
                </a:schemeClr>
              </a:solidFill>
              <a:round/>
            </a:ln>
            <a:effectLst/>
          </c:spPr>
          <c:marker>
            <c:symbol val="none"/>
          </c:marker>
          <c:cat>
            <c:numRef>
              <c:f>'P14-17 Emissions'!$B$6:$AF$6</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'P14-17 Emissions'!$B$9:$AF$9</c:f>
              <c:numCache>
                <c:formatCode>General</c:formatCode>
                <c:ptCount val="31"/>
                <c:pt idx="18" formatCode="_(* #,##0_);_(* \(#,##0\);_(* &quot;-&quot;??_);_(@_)">
                  <c:v>2709373.7094859798</c:v>
                </c:pt>
                <c:pt idx="19" formatCode="_(* #,##0_);_(* \(#,##0\);_(* &quot;-&quot;??_);_(@_)">
                  <c:v>2700000</c:v>
                </c:pt>
                <c:pt idx="20" formatCode="_(* #,##0_);_(* \(#,##0\);_(* &quot;-&quot;??_);_(@_)">
                  <c:v>410090</c:v>
                </c:pt>
                <c:pt idx="21" formatCode="_(* #,##0_);_(* \(#,##0\);_(* &quot;-&quot;??_);_(@_)">
                  <c:v>445606</c:v>
                </c:pt>
                <c:pt idx="22" formatCode="_(* #,##0_);_(* \(#,##0\);_(* &quot;-&quot;??_);_(@_)">
                  <c:v>455735</c:v>
                </c:pt>
                <c:pt idx="23" formatCode="_(* #,##0_);_(* \(#,##0\);_(* &quot;-&quot;??_);_(@_)">
                  <c:v>439365</c:v>
                </c:pt>
                <c:pt idx="24" formatCode="_(* #,##0_);_(* \(#,##0\);_(* &quot;-&quot;??_);_(@_)">
                  <c:v>417639</c:v>
                </c:pt>
                <c:pt idx="25" formatCode="_(* #,##0_);_(* \(#,##0\);_(* &quot;-&quot;??_);_(@_)">
                  <c:v>401259</c:v>
                </c:pt>
                <c:pt idx="26" formatCode="_(* #,##0_);_(* \(#,##0\);_(* &quot;-&quot;??_);_(@_)">
                  <c:v>416393</c:v>
                </c:pt>
                <c:pt idx="27" formatCode="_(* #,##0_);_(* \(#,##0\);_(* &quot;-&quot;??_);_(@_)">
                  <c:v>417238</c:v>
                </c:pt>
                <c:pt idx="28" formatCode="_(* #,##0_);_(* \(#,##0\);_(* &quot;-&quot;??_);_(@_)">
                  <c:v>422380</c:v>
                </c:pt>
                <c:pt idx="29" formatCode="_(* #,##0_);_(* \(#,##0\);_(* &quot;-&quot;??_);_(@_)">
                  <c:v>396191</c:v>
                </c:pt>
                <c:pt idx="30" formatCode="_(* #,##0_);_(* \(#,##0\);_(* &quot;-&quot;??_);_(@_)">
                  <c:v>0</c:v>
                </c:pt>
              </c:numCache>
            </c:numRef>
          </c:val>
          <c:smooth val="0"/>
          <c:extLst>
            <c:ext xmlns:c16="http://schemas.microsoft.com/office/drawing/2014/chart" uri="{C3380CC4-5D6E-409C-BE32-E72D297353CC}">
              <c16:uniqueId val="{00000002-CB7E-4119-9139-F05ADB70F4CE}"/>
            </c:ext>
          </c:extLst>
        </c:ser>
        <c:ser>
          <c:idx val="16"/>
          <c:order val="3"/>
          <c:tx>
            <c:v>16</c:v>
          </c:tx>
          <c:spPr>
            <a:ln w="28575" cap="rnd">
              <a:solidFill>
                <a:schemeClr val="accent5">
                  <a:lumMod val="80000"/>
                  <a:lumOff val="20000"/>
                </a:schemeClr>
              </a:solidFill>
              <a:round/>
            </a:ln>
            <a:effectLst/>
          </c:spPr>
          <c:marker>
            <c:symbol val="none"/>
          </c:marker>
          <c:cat>
            <c:numRef>
              <c:f>'P14-17 Emissions'!$B$6:$AF$6</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'P14-17 Emissions'!$B$10:$AF$10</c:f>
              <c:numCache>
                <c:formatCode>General</c:formatCode>
                <c:ptCount val="31"/>
                <c:pt idx="18" formatCode="_(* #,##0_);_(* \(#,##0\);_(* &quot;-&quot;??_);_(@_)">
                  <c:v>2709373.7094859798</c:v>
                </c:pt>
                <c:pt idx="19" formatCode="_(* #,##0_);_(* \(#,##0\);_(* &quot;-&quot;??_);_(@_)">
                  <c:v>2700000</c:v>
                </c:pt>
                <c:pt idx="20" formatCode="_(* #,##0_);_(* \(#,##0\);_(* &quot;-&quot;??_);_(@_)">
                  <c:v>410090</c:v>
                </c:pt>
                <c:pt idx="21" formatCode="_(* #,##0_);_(* \(#,##0\);_(* &quot;-&quot;??_);_(@_)">
                  <c:v>445606</c:v>
                </c:pt>
                <c:pt idx="22" formatCode="_(* #,##0_);_(* \(#,##0\);_(* &quot;-&quot;??_);_(@_)">
                  <c:v>455735</c:v>
                </c:pt>
                <c:pt idx="23" formatCode="_(* #,##0_);_(* \(#,##0\);_(* &quot;-&quot;??_);_(@_)">
                  <c:v>439365</c:v>
                </c:pt>
                <c:pt idx="24" formatCode="_(* #,##0_);_(* \(#,##0\);_(* &quot;-&quot;??_);_(@_)">
                  <c:v>417639</c:v>
                </c:pt>
                <c:pt idx="25" formatCode="_(* #,##0_);_(* \(#,##0\);_(* &quot;-&quot;??_);_(@_)">
                  <c:v>401259</c:v>
                </c:pt>
                <c:pt idx="26" formatCode="_(* #,##0_);_(* \(#,##0\);_(* &quot;-&quot;??_);_(@_)">
                  <c:v>416393</c:v>
                </c:pt>
                <c:pt idx="27" formatCode="_(* #,##0_);_(* \(#,##0\);_(* &quot;-&quot;??_);_(@_)">
                  <c:v>417238</c:v>
                </c:pt>
                <c:pt idx="28" formatCode="_(* #,##0_);_(* \(#,##0\);_(* &quot;-&quot;??_);_(@_)">
                  <c:v>424392</c:v>
                </c:pt>
                <c:pt idx="29" formatCode="_(* #,##0_);_(* \(#,##0\);_(* &quot;-&quot;??_);_(@_)">
                  <c:v>395705</c:v>
                </c:pt>
                <c:pt idx="30" formatCode="_(* #,##0_);_(* \(#,##0\);_(* &quot;-&quot;??_);_(@_)">
                  <c:v>625543</c:v>
                </c:pt>
              </c:numCache>
            </c:numRef>
          </c:val>
          <c:smooth val="0"/>
          <c:extLst>
            <c:ext xmlns:c16="http://schemas.microsoft.com/office/drawing/2014/chart" uri="{C3380CC4-5D6E-409C-BE32-E72D297353CC}">
              <c16:uniqueId val="{00000003-CB7E-4119-9139-F05ADB70F4CE}"/>
            </c:ext>
          </c:extLst>
        </c:ser>
        <c:ser>
          <c:idx val="17"/>
          <c:order val="4"/>
          <c:tx>
            <c:v>17</c:v>
          </c:tx>
          <c:spPr>
            <a:ln w="28575" cap="rnd">
              <a:solidFill>
                <a:schemeClr val="accent6">
                  <a:lumMod val="80000"/>
                  <a:lumOff val="20000"/>
                </a:schemeClr>
              </a:solidFill>
              <a:round/>
            </a:ln>
            <a:effectLst/>
          </c:spPr>
          <c:marker>
            <c:symbol val="none"/>
          </c:marker>
          <c:cat>
            <c:numRef>
              <c:f>'P14-17 Emissions'!$B$6:$AF$6</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'P14-17 Emissions'!$B$11:$AF$11</c:f>
              <c:numCache>
                <c:formatCode>General</c:formatCode>
                <c:ptCount val="31"/>
                <c:pt idx="18" formatCode="_(* #,##0_);_(* \(#,##0\);_(* &quot;-&quot;??_);_(@_)">
                  <c:v>2709373.7094859798</c:v>
                </c:pt>
                <c:pt idx="19" formatCode="_(* #,##0_);_(* \(#,##0\);_(* &quot;-&quot;??_);_(@_)">
                  <c:v>2700000</c:v>
                </c:pt>
                <c:pt idx="20" formatCode="_(* #,##0_);_(* \(#,##0\);_(* &quot;-&quot;??_);_(@_)">
                  <c:v>410090</c:v>
                </c:pt>
                <c:pt idx="21" formatCode="_(* #,##0_);_(* \(#,##0\);_(* &quot;-&quot;??_);_(@_)">
                  <c:v>445606</c:v>
                </c:pt>
                <c:pt idx="22" formatCode="_(* #,##0_);_(* \(#,##0\);_(* &quot;-&quot;??_);_(@_)">
                  <c:v>455735</c:v>
                </c:pt>
                <c:pt idx="23" formatCode="_(* #,##0_);_(* \(#,##0\);_(* &quot;-&quot;??_);_(@_)">
                  <c:v>439365</c:v>
                </c:pt>
                <c:pt idx="24" formatCode="_(* #,##0_);_(* \(#,##0\);_(* &quot;-&quot;??_);_(@_)">
                  <c:v>417639</c:v>
                </c:pt>
                <c:pt idx="25" formatCode="_(* #,##0_);_(* \(#,##0\);_(* &quot;-&quot;??_);_(@_)">
                  <c:v>401259</c:v>
                </c:pt>
                <c:pt idx="26" formatCode="_(* #,##0_);_(* \(#,##0\);_(* &quot;-&quot;??_);_(@_)">
                  <c:v>427014</c:v>
                </c:pt>
                <c:pt idx="27" formatCode="_(* #,##0_);_(* \(#,##0\);_(* &quot;-&quot;??_);_(@_)">
                  <c:v>425485</c:v>
                </c:pt>
                <c:pt idx="28" formatCode="_(* #,##0_);_(* \(#,##0\);_(* &quot;-&quot;??_);_(@_)">
                  <c:v>434588</c:v>
                </c:pt>
                <c:pt idx="29" formatCode="_(* #,##0_);_(* \(#,##0\);_(* &quot;-&quot;??_);_(@_)">
                  <c:v>404813</c:v>
                </c:pt>
                <c:pt idx="30" formatCode="_(* #,##0_);_(* \(#,##0\);_(* &quot;-&quot;??_);_(@_)">
                  <c:v>640958</c:v>
                </c:pt>
              </c:numCache>
            </c:numRef>
          </c:val>
          <c:smooth val="0"/>
          <c:extLst>
            <c:ext xmlns:c16="http://schemas.microsoft.com/office/drawing/2014/chart" uri="{C3380CC4-5D6E-409C-BE32-E72D297353CC}">
              <c16:uniqueId val="{00000004-CB7E-4119-9139-F05ADB70F4CE}"/>
            </c:ext>
          </c:extLst>
        </c:ser>
        <c:dLbls>
          <c:showLegendKey val="0"/>
          <c:showVal val="0"/>
          <c:showCatName val="0"/>
          <c:showSerName val="0"/>
          <c:showPercent val="0"/>
          <c:showBubbleSize val="0"/>
        </c:dLbls>
        <c:smooth val="0"/>
        <c:axId val="501858287"/>
        <c:axId val="501852527"/>
      </c:lineChart>
      <c:catAx>
        <c:axId val="50185828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01852527"/>
        <c:crosses val="autoZero"/>
        <c:auto val="1"/>
        <c:lblAlgn val="ctr"/>
        <c:lblOffset val="100"/>
        <c:noMultiLvlLbl val="0"/>
      </c:catAx>
      <c:valAx>
        <c:axId val="50185252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r>
                  <a:rPr lang="en-US" sz="1200"/>
                  <a:t>Metric Tons CO2</a:t>
                </a:r>
              </a:p>
            </c:rich>
          </c:tx>
          <c:overlay val="0"/>
          <c:spPr>
            <a:noFill/>
            <a:ln>
              <a:noFill/>
            </a:ln>
            <a:effectLst/>
          </c:spPr>
          <c:txPr>
            <a:bodyPr rot="-54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0185828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NOx Emissions </a:t>
            </a:r>
            <a:r>
              <a:rPr lang="en-US" baseline="0"/>
              <a:t> (Metric Tons)</a:t>
            </a:r>
          </a:p>
          <a:p>
            <a:pPr>
              <a:defRPr/>
            </a:pPr>
            <a:r>
              <a:rPr lang="en-US" baseline="0"/>
              <a:t>2025-2035</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'P14-17 Emissions'!$B$70</c:f>
              <c:strCache>
                <c:ptCount val="1"/>
                <c:pt idx="0">
                  <c:v>NOx</c:v>
                </c:pt>
              </c:strCache>
            </c:strRef>
          </c:tx>
          <c:spPr>
            <a:solidFill>
              <a:schemeClr val="accent1">
                <a:lumMod val="50000"/>
              </a:schemeClr>
            </a:solidFill>
            <a:ln>
              <a:noFill/>
            </a:ln>
            <a:effectLst/>
          </c:spPr>
          <c:invertIfNegative val="0"/>
          <c:cat>
            <c:numRef>
              <c:f>'P14-17 Emissions'!$A$71:$A$87</c:f>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'P14-17 Emissions'!$B$71:$B$87</c:f>
              <c:numCache>
                <c:formatCode>General</c:formatCode>
                <c:ptCount val="17"/>
                <c:pt idx="0" formatCode="#,##0">
                  <c:v>1596</c:v>
                </c:pt>
                <c:pt idx="1">
                  <c:v>589</c:v>
                </c:pt>
                <c:pt idx="2" formatCode="#,##0">
                  <c:v>3016</c:v>
                </c:pt>
                <c:pt idx="3" formatCode="#,##0">
                  <c:v>8978</c:v>
                </c:pt>
                <c:pt idx="4">
                  <c:v>599</c:v>
                </c:pt>
                <c:pt idx="5">
                  <c:v>584</c:v>
                </c:pt>
                <c:pt idx="6">
                  <c:v>573</c:v>
                </c:pt>
                <c:pt idx="7" formatCode="#,##0">
                  <c:v>1730</c:v>
                </c:pt>
                <c:pt idx="8" formatCode="#,##0">
                  <c:v>1355</c:v>
                </c:pt>
                <c:pt idx="9">
                  <c:v>650</c:v>
                </c:pt>
                <c:pt idx="10" formatCode="#,##0">
                  <c:v>5267</c:v>
                </c:pt>
                <c:pt idx="11">
                  <c:v>440</c:v>
                </c:pt>
                <c:pt idx="12">
                  <c:v>457</c:v>
                </c:pt>
                <c:pt idx="13" formatCode="#,##0">
                  <c:v>710.78653724031574</c:v>
                </c:pt>
                <c:pt idx="14" formatCode="0">
                  <c:v>437.26753152499327</c:v>
                </c:pt>
                <c:pt idx="15" formatCode="0">
                  <c:v>502.5855030391001</c:v>
                </c:pt>
                <c:pt idx="16" formatCode="0">
                  <c:v>510.75024947836351</c:v>
                </c:pt>
              </c:numCache>
            </c:numRef>
          </c:val>
          <c:extLst>
            <c:ext xmlns:c16="http://schemas.microsoft.com/office/drawing/2014/chart" uri="{C3380CC4-5D6E-409C-BE32-E72D297353CC}">
              <c16:uniqueId val="{00000000-08E0-4FDE-97F5-9C161B099ABA}"/>
            </c:ext>
          </c:extLst>
        </c:ser>
        <c:dLbls>
          <c:showLegendKey val="0"/>
          <c:showVal val="0"/>
          <c:showCatName val="0"/>
          <c:showSerName val="0"/>
          <c:showPercent val="0"/>
          <c:showBubbleSize val="0"/>
        </c:dLbls>
        <c:gapWidth val="150"/>
        <c:overlap val="100"/>
        <c:axId val="1271311887"/>
        <c:axId val="1271312367"/>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Metric Tons NOx</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SOx Emissions </a:t>
            </a:r>
            <a:r>
              <a:rPr lang="en-US" baseline="0"/>
              <a:t> (Metric Tons)</a:t>
            </a:r>
          </a:p>
          <a:p>
            <a:pPr>
              <a:defRPr/>
            </a:pPr>
            <a:r>
              <a:rPr lang="en-US" baseline="0"/>
              <a:t>2025-2035</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'P14-17 Emissions'!$B$99</c:f>
              <c:strCache>
                <c:ptCount val="1"/>
                <c:pt idx="0">
                  <c:v>SOx</c:v>
                </c:pt>
              </c:strCache>
            </c:strRef>
          </c:tx>
          <c:spPr>
            <a:solidFill>
              <a:schemeClr val="accent1"/>
            </a:solidFill>
            <a:ln>
              <a:noFill/>
            </a:ln>
            <a:effectLst/>
          </c:spPr>
          <c:invertIfNegative val="0"/>
          <c:cat>
            <c:numRef>
              <c:f>'P14-17 Emissions'!$A$100:$A$116</c:f>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'P14-17 Emissions'!$B$100:$B$116</c:f>
              <c:numCache>
                <c:formatCode>General</c:formatCode>
                <c:ptCount val="17"/>
                <c:pt idx="0">
                  <c:v>49.4</c:v>
                </c:pt>
                <c:pt idx="1">
                  <c:v>8.1999999999999993</c:v>
                </c:pt>
                <c:pt idx="2">
                  <c:v>88</c:v>
                </c:pt>
                <c:pt idx="3" formatCode="#,##0.00">
                  <c:v>1036</c:v>
                </c:pt>
                <c:pt idx="4">
                  <c:v>6.8</c:v>
                </c:pt>
                <c:pt idx="5">
                  <c:v>3.6</c:v>
                </c:pt>
                <c:pt idx="6">
                  <c:v>3.6</c:v>
                </c:pt>
                <c:pt idx="7">
                  <c:v>20.399999999999999</c:v>
                </c:pt>
                <c:pt idx="8">
                  <c:v>17.2</c:v>
                </c:pt>
                <c:pt idx="9">
                  <c:v>3.6</c:v>
                </c:pt>
                <c:pt idx="10">
                  <c:v>561.6</c:v>
                </c:pt>
                <c:pt idx="11">
                  <c:v>0</c:v>
                </c:pt>
                <c:pt idx="12">
                  <c:v>0.9</c:v>
                </c:pt>
                <c:pt idx="13" formatCode="0.0">
                  <c:v>2.2679851220175995</c:v>
                </c:pt>
                <c:pt idx="14">
                  <c:v>0</c:v>
                </c:pt>
                <c:pt idx="15">
                  <c:v>0</c:v>
                </c:pt>
                <c:pt idx="16">
                  <c:v>0</c:v>
                </c:pt>
              </c:numCache>
            </c:numRef>
          </c:val>
          <c:extLst>
            <c:ext xmlns:c16="http://schemas.microsoft.com/office/drawing/2014/chart" uri="{C3380CC4-5D6E-409C-BE32-E72D297353CC}">
              <c16:uniqueId val="{00000000-1921-46C5-862A-784B7A6D19D9}"/>
            </c:ext>
          </c:extLst>
        </c:ser>
        <c:dLbls>
          <c:showLegendKey val="0"/>
          <c:showVal val="0"/>
          <c:showCatName val="0"/>
          <c:showSerName val="0"/>
          <c:showPercent val="0"/>
          <c:showBubbleSize val="0"/>
        </c:dLbls>
        <c:gapWidth val="150"/>
        <c:overlap val="100"/>
        <c:axId val="1271311887"/>
        <c:axId val="1271312367"/>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Metric Tons SOx</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PM Emissions  (Metric Tons) 2025-2035</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'P14-17 Emissions'!$B$129</c:f>
              <c:strCache>
                <c:ptCount val="1"/>
                <c:pt idx="0">
                  <c:v>PM</c:v>
                </c:pt>
              </c:strCache>
            </c:strRef>
          </c:tx>
          <c:spPr>
            <a:solidFill>
              <a:schemeClr val="accent1"/>
            </a:solidFill>
            <a:ln>
              <a:noFill/>
            </a:ln>
            <a:effectLst/>
          </c:spPr>
          <c:invertIfNegative val="0"/>
          <c:cat>
            <c:numRef>
              <c:f>'P14-17 Emissions'!$A$130:$A$146</c:f>
              <c:numCache>
                <c:formatCode>General</c:formatCode>
                <c:ptCount val="17"/>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numCache>
            </c:numRef>
          </c:cat>
          <c:val>
            <c:numRef>
              <c:f>'P14-17 Emissions'!$B$130:$B$146</c:f>
              <c:numCache>
                <c:formatCode>General</c:formatCode>
                <c:ptCount val="17"/>
                <c:pt idx="0">
                  <c:v>389</c:v>
                </c:pt>
                <c:pt idx="1">
                  <c:v>152</c:v>
                </c:pt>
                <c:pt idx="2">
                  <c:v>761</c:v>
                </c:pt>
                <c:pt idx="3">
                  <c:v>869</c:v>
                </c:pt>
                <c:pt idx="4">
                  <c:v>153</c:v>
                </c:pt>
                <c:pt idx="5">
                  <c:v>150</c:v>
                </c:pt>
                <c:pt idx="6">
                  <c:v>148</c:v>
                </c:pt>
                <c:pt idx="7">
                  <c:v>259</c:v>
                </c:pt>
                <c:pt idx="8">
                  <c:v>235</c:v>
                </c:pt>
                <c:pt idx="9">
                  <c:v>554</c:v>
                </c:pt>
                <c:pt idx="10">
                  <c:v>167</c:v>
                </c:pt>
                <c:pt idx="11">
                  <c:v>114</c:v>
                </c:pt>
                <c:pt idx="12">
                  <c:v>118</c:v>
                </c:pt>
                <c:pt idx="13" formatCode="0">
                  <c:v>183.8827144606731</c:v>
                </c:pt>
                <c:pt idx="14">
                  <c:v>113</c:v>
                </c:pt>
                <c:pt idx="15">
                  <c:v>130</c:v>
                </c:pt>
                <c:pt idx="16">
                  <c:v>132</c:v>
                </c:pt>
              </c:numCache>
            </c:numRef>
          </c:val>
          <c:extLst>
            <c:ext xmlns:c16="http://schemas.microsoft.com/office/drawing/2014/chart" uri="{C3380CC4-5D6E-409C-BE32-E72D297353CC}">
              <c16:uniqueId val="{00000000-E92D-4B28-9459-CDBFCCC8B3F6}"/>
            </c:ext>
          </c:extLst>
        </c:ser>
        <c:dLbls>
          <c:showLegendKey val="0"/>
          <c:showVal val="0"/>
          <c:showCatName val="0"/>
          <c:showSerName val="0"/>
          <c:showPercent val="0"/>
          <c:showBubbleSize val="0"/>
        </c:dLbls>
        <c:gapWidth val="150"/>
        <c:overlap val="100"/>
        <c:axId val="1271311887"/>
        <c:axId val="1271312367"/>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Metric Tons PM</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CO</a:t>
            </a:r>
            <a:r>
              <a:rPr lang="en-US" baseline="-25000"/>
              <a:t>2</a:t>
            </a:r>
            <a:r>
              <a:rPr lang="en-US"/>
              <a:t> Emissions </a:t>
            </a:r>
            <a:r>
              <a:rPr lang="en-US" baseline="0"/>
              <a:t> (Million Metric Tons)</a:t>
            </a:r>
          </a:p>
          <a:p>
            <a:pPr>
              <a:defRPr/>
            </a:pPr>
            <a:r>
              <a:rPr lang="en-US" baseline="0"/>
              <a:t>2025-2035</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'P14-17 Emissions'!$B$40</c:f>
              <c:strCache>
                <c:ptCount val="1"/>
                <c:pt idx="0">
                  <c:v>CO2</c:v>
                </c:pt>
              </c:strCache>
            </c:strRef>
          </c:tx>
          <c:spPr>
            <a:solidFill>
              <a:schemeClr val="accent1"/>
            </a:solidFill>
            <a:ln>
              <a:noFill/>
            </a:ln>
            <a:effectLst/>
          </c:spPr>
          <c:invertIfNegative val="0"/>
          <c:cat>
            <c:numRef>
              <c:f>'P14-17 Emissions'!$A$54:$A$57</c:f>
              <c:numCache>
                <c:formatCode>General</c:formatCode>
                <c:ptCount val="4"/>
                <c:pt idx="0">
                  <c:v>14</c:v>
                </c:pt>
                <c:pt idx="1">
                  <c:v>15</c:v>
                </c:pt>
                <c:pt idx="2">
                  <c:v>16</c:v>
                </c:pt>
                <c:pt idx="3">
                  <c:v>17</c:v>
                </c:pt>
              </c:numCache>
            </c:numRef>
          </c:cat>
          <c:val>
            <c:numRef>
              <c:f>'P14-17 Emissions'!$B$54:$B$57</c:f>
              <c:numCache>
                <c:formatCode>_(* #,##0.0_);_(* \(#,##0.0\);_(* "-"??_);_(@_)</c:formatCode>
                <c:ptCount val="4"/>
                <c:pt idx="0">
                  <c:v>6.786094529619886</c:v>
                </c:pt>
                <c:pt idx="1">
                  <c:v>4.2</c:v>
                </c:pt>
                <c:pt idx="2">
                  <c:v>4.8</c:v>
                </c:pt>
                <c:pt idx="3">
                  <c:v>4.9000000000000004</c:v>
                </c:pt>
              </c:numCache>
            </c:numRef>
          </c:val>
          <c:extLst>
            <c:ext xmlns:c16="http://schemas.microsoft.com/office/drawing/2014/chart" uri="{C3380CC4-5D6E-409C-BE32-E72D297353CC}">
              <c16:uniqueId val="{00000000-CE52-4F3E-B3CF-713660EF95F8}"/>
            </c:ext>
          </c:extLst>
        </c:ser>
        <c:dLbls>
          <c:showLegendKey val="0"/>
          <c:showVal val="0"/>
          <c:showCatName val="0"/>
          <c:showSerName val="0"/>
          <c:showPercent val="0"/>
          <c:showBubbleSize val="0"/>
        </c:dLbls>
        <c:gapWidth val="150"/>
        <c:overlap val="100"/>
        <c:axId val="1271311887"/>
        <c:axId val="1271312367"/>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Millions Metric Tons CO2</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_(* #,##0.0_);_(* \(#,##0.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NOx Emissions </a:t>
            </a:r>
            <a:r>
              <a:rPr lang="en-US" baseline="0"/>
              <a:t> (Metric Tons)</a:t>
            </a:r>
          </a:p>
          <a:p>
            <a:pPr>
              <a:defRPr/>
            </a:pPr>
            <a:r>
              <a:rPr lang="en-US" baseline="0"/>
              <a:t>2025-2035</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'P14-17 Emissions'!$B$70</c:f>
              <c:strCache>
                <c:ptCount val="1"/>
                <c:pt idx="0">
                  <c:v>NOx</c:v>
                </c:pt>
              </c:strCache>
            </c:strRef>
          </c:tx>
          <c:spPr>
            <a:solidFill>
              <a:schemeClr val="accent1">
                <a:lumMod val="50000"/>
              </a:schemeClr>
            </a:solidFill>
            <a:ln>
              <a:noFill/>
            </a:ln>
            <a:effectLst/>
          </c:spPr>
          <c:invertIfNegative val="0"/>
          <c:cat>
            <c:numRef>
              <c:f>'P14-17 Emissions'!$A$84:$A$87</c:f>
              <c:numCache>
                <c:formatCode>General</c:formatCode>
                <c:ptCount val="4"/>
                <c:pt idx="0">
                  <c:v>14</c:v>
                </c:pt>
                <c:pt idx="1">
                  <c:v>15</c:v>
                </c:pt>
                <c:pt idx="2">
                  <c:v>16</c:v>
                </c:pt>
                <c:pt idx="3">
                  <c:v>17</c:v>
                </c:pt>
              </c:numCache>
            </c:numRef>
          </c:cat>
          <c:val>
            <c:numRef>
              <c:f>'P14-17 Emissions'!$B$84:$B$87</c:f>
              <c:numCache>
                <c:formatCode>0</c:formatCode>
                <c:ptCount val="4"/>
                <c:pt idx="0" formatCode="#,##0">
                  <c:v>710.78653724031574</c:v>
                </c:pt>
                <c:pt idx="1">
                  <c:v>437.26753152499327</c:v>
                </c:pt>
                <c:pt idx="2">
                  <c:v>502.5855030391001</c:v>
                </c:pt>
                <c:pt idx="3">
                  <c:v>510.75024947836351</c:v>
                </c:pt>
              </c:numCache>
            </c:numRef>
          </c:val>
          <c:extLst>
            <c:ext xmlns:c16="http://schemas.microsoft.com/office/drawing/2014/chart" uri="{C3380CC4-5D6E-409C-BE32-E72D297353CC}">
              <c16:uniqueId val="{00000000-4705-4234-A408-4A55A8269EC5}"/>
            </c:ext>
          </c:extLst>
        </c:ser>
        <c:dLbls>
          <c:showLegendKey val="0"/>
          <c:showVal val="0"/>
          <c:showCatName val="0"/>
          <c:showSerName val="0"/>
          <c:showPercent val="0"/>
          <c:showBubbleSize val="0"/>
        </c:dLbls>
        <c:gapWidth val="150"/>
        <c:overlap val="100"/>
        <c:axId val="1271311887"/>
        <c:axId val="1271312367"/>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Metric Tons NOx</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 of load matched</a:t>
            </a:r>
            <a:r>
              <a:rPr lang="en-US" baseline="0"/>
              <a:t> with carbon-free energy 2035 - range accounts for curtailment </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spPr>
            <a:noFill/>
            <a:ln>
              <a:noFill/>
            </a:ln>
            <a:effectLst/>
          </c:spPr>
          <c:invertIfNegative val="0"/>
          <c:val>
            <c:numRef>
              <c:f>'CF % of load'!$M$4:$M$20</c:f>
              <c:numCache>
                <c:formatCode>0%</c:formatCode>
                <c:ptCount val="17"/>
                <c:pt idx="0">
                  <c:v>0.48062975935334007</c:v>
                </c:pt>
                <c:pt idx="1">
                  <c:v>0.74696839280859617</c:v>
                </c:pt>
                <c:pt idx="2">
                  <c:v>0.62893422536925359</c:v>
                </c:pt>
                <c:pt idx="3">
                  <c:v>0.48501727906594966</c:v>
                </c:pt>
                <c:pt idx="4">
                  <c:v>0.75718183918182413</c:v>
                </c:pt>
                <c:pt idx="5">
                  <c:v>0.63072402211021927</c:v>
                </c:pt>
                <c:pt idx="6">
                  <c:v>0.76085780556313976</c:v>
                </c:pt>
                <c:pt idx="7">
                  <c:v>0.75598276162864975</c:v>
                </c:pt>
                <c:pt idx="8">
                  <c:v>0.75453115950086502</c:v>
                </c:pt>
                <c:pt idx="9">
                  <c:v>0.75564360976641132</c:v>
                </c:pt>
                <c:pt idx="10">
                  <c:v>0.75487934639930876</c:v>
                </c:pt>
                <c:pt idx="11">
                  <c:v>0.88703492658250216</c:v>
                </c:pt>
                <c:pt idx="12">
                  <c:v>0.82406246190773036</c:v>
                </c:pt>
                <c:pt idx="13">
                  <c:v>0.75485952843283088</c:v>
                </c:pt>
                <c:pt idx="14">
                  <c:v>0.91613014164295759</c:v>
                </c:pt>
                <c:pt idx="15">
                  <c:v>0.9078096938066279</c:v>
                </c:pt>
                <c:pt idx="16">
                  <c:v>0.88874274536686093</c:v>
                </c:pt>
              </c:numCache>
            </c:numRef>
          </c:val>
          <c:extLst>
            <c:ext xmlns:c16="http://schemas.microsoft.com/office/drawing/2014/chart" uri="{C3380CC4-5D6E-409C-BE32-E72D297353CC}">
              <c16:uniqueId val="{00000000-20F1-44D9-87A6-BA1579997A48}"/>
            </c:ext>
          </c:extLst>
        </c:ser>
        <c:ser>
          <c:idx val="2"/>
          <c:order val="1"/>
          <c:spPr>
            <a:solidFill>
              <a:schemeClr val="accent1">
                <a:lumMod val="60000"/>
                <a:lumOff val="40000"/>
              </a:schemeClr>
            </a:solidFill>
            <a:ln>
              <a:noFill/>
            </a:ln>
            <a:effectLst/>
          </c:spPr>
          <c:invertIfNegative val="0"/>
          <c:val>
            <c:numRef>
              <c:f>'CF % of load'!$M$42:$M$58</c:f>
              <c:numCache>
                <c:formatCode>0%</c:formatCode>
                <c:ptCount val="17"/>
                <c:pt idx="0">
                  <c:v>6.4806208599172965E-2</c:v>
                </c:pt>
                <c:pt idx="1">
                  <c:v>0.1356533381634718</c:v>
                </c:pt>
                <c:pt idx="2">
                  <c:v>0.12399755826638836</c:v>
                </c:pt>
                <c:pt idx="3">
                  <c:v>6.2750141055997022E-2</c:v>
                </c:pt>
                <c:pt idx="4">
                  <c:v>0.13795109238355907</c:v>
                </c:pt>
                <c:pt idx="5">
                  <c:v>0.12886453909564977</c:v>
                </c:pt>
                <c:pt idx="6">
                  <c:v>0.13740040502394768</c:v>
                </c:pt>
                <c:pt idx="7">
                  <c:v>0.13431220410322986</c:v>
                </c:pt>
                <c:pt idx="8">
                  <c:v>0.13509010603606886</c:v>
                </c:pt>
                <c:pt idx="9">
                  <c:v>0.13354357931370942</c:v>
                </c:pt>
                <c:pt idx="10">
                  <c:v>0.13477373217067423</c:v>
                </c:pt>
                <c:pt idx="11">
                  <c:v>0.21344124034493217</c:v>
                </c:pt>
                <c:pt idx="12">
                  <c:v>0.20452246185655243</c:v>
                </c:pt>
                <c:pt idx="13">
                  <c:v>0.1344255681983707</c:v>
                </c:pt>
                <c:pt idx="14">
                  <c:v>0.21521510156078183</c:v>
                </c:pt>
                <c:pt idx="15">
                  <c:v>0.21049167577944161</c:v>
                </c:pt>
                <c:pt idx="16">
                  <c:v>0.21062652674406113</c:v>
                </c:pt>
              </c:numCache>
            </c:numRef>
          </c:val>
          <c:extLst>
            <c:ext xmlns:c16="http://schemas.microsoft.com/office/drawing/2014/chart" uri="{C3380CC4-5D6E-409C-BE32-E72D297353CC}">
              <c16:uniqueId val="{00000001-20F1-44D9-87A6-BA1579997A48}"/>
            </c:ext>
          </c:extLst>
        </c:ser>
        <c:dLbls>
          <c:showLegendKey val="0"/>
          <c:showVal val="0"/>
          <c:showCatName val="0"/>
          <c:showSerName val="0"/>
          <c:showPercent val="0"/>
          <c:showBubbleSize val="0"/>
        </c:dLbls>
        <c:gapWidth val="150"/>
        <c:overlap val="100"/>
        <c:axId val="2053167743"/>
        <c:axId val="2053176383"/>
      </c:barChart>
      <c:catAx>
        <c:axId val="2053167743"/>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Portfolio</a:t>
                </a:r>
                <a:r>
                  <a:rPr lang="en-US" baseline="0"/>
                  <a:t>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53176383"/>
        <c:crosses val="autoZero"/>
        <c:auto val="1"/>
        <c:lblAlgn val="ctr"/>
        <c:lblOffset val="100"/>
        <c:noMultiLvlLbl val="0"/>
      </c:catAx>
      <c:valAx>
        <c:axId val="2053176383"/>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Carbon-free of load</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53167743"/>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 of load matched</a:t>
            </a:r>
            <a:r>
              <a:rPr lang="en-US" baseline="0"/>
              <a:t> with carbon-free energy 2035 - range accounts for curtailment </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spPr>
            <a:noFill/>
            <a:ln>
              <a:noFill/>
            </a:ln>
            <a:effectLst/>
          </c:spPr>
          <c:invertIfNegative val="0"/>
          <c:cat>
            <c:numRef>
              <c:f>'CF % of load'!$B$17:$B$20</c:f>
              <c:numCache>
                <c:formatCode>General</c:formatCode>
                <c:ptCount val="4"/>
                <c:pt idx="0">
                  <c:v>14</c:v>
                </c:pt>
                <c:pt idx="1">
                  <c:v>15</c:v>
                </c:pt>
                <c:pt idx="2">
                  <c:v>16</c:v>
                </c:pt>
                <c:pt idx="3">
                  <c:v>17</c:v>
                </c:pt>
              </c:numCache>
            </c:numRef>
          </c:cat>
          <c:val>
            <c:numRef>
              <c:f>'CF % of load'!$M$17:$M$20</c:f>
              <c:numCache>
                <c:formatCode>0%</c:formatCode>
                <c:ptCount val="4"/>
                <c:pt idx="0">
                  <c:v>0.75485952843283088</c:v>
                </c:pt>
                <c:pt idx="1">
                  <c:v>0.91613014164295759</c:v>
                </c:pt>
                <c:pt idx="2">
                  <c:v>0.9078096938066279</c:v>
                </c:pt>
                <c:pt idx="3">
                  <c:v>0.88874274536686093</c:v>
                </c:pt>
              </c:numCache>
            </c:numRef>
          </c:val>
          <c:extLst>
            <c:ext xmlns:c16="http://schemas.microsoft.com/office/drawing/2014/chart" uri="{C3380CC4-5D6E-409C-BE32-E72D297353CC}">
              <c16:uniqueId val="{00000000-97CA-4358-B02F-9C7DBA5A18F8}"/>
            </c:ext>
          </c:extLst>
        </c:ser>
        <c:ser>
          <c:idx val="2"/>
          <c:order val="1"/>
          <c:spPr>
            <a:solidFill>
              <a:schemeClr val="accent1">
                <a:lumMod val="60000"/>
                <a:lumOff val="40000"/>
              </a:schemeClr>
            </a:solidFill>
            <a:ln>
              <a:noFill/>
            </a:ln>
            <a:effectLst/>
          </c:spPr>
          <c:invertIfNegative val="0"/>
          <c:cat>
            <c:numRef>
              <c:f>'CF % of load'!$B$17:$B$20</c:f>
              <c:numCache>
                <c:formatCode>General</c:formatCode>
                <c:ptCount val="4"/>
                <c:pt idx="0">
                  <c:v>14</c:v>
                </c:pt>
                <c:pt idx="1">
                  <c:v>15</c:v>
                </c:pt>
                <c:pt idx="2">
                  <c:v>16</c:v>
                </c:pt>
                <c:pt idx="3">
                  <c:v>17</c:v>
                </c:pt>
              </c:numCache>
            </c:numRef>
          </c:cat>
          <c:val>
            <c:numRef>
              <c:f>'CF % of load'!$M$55:$M$58</c:f>
              <c:numCache>
                <c:formatCode>0%</c:formatCode>
                <c:ptCount val="4"/>
                <c:pt idx="0">
                  <c:v>0.1344255681983707</c:v>
                </c:pt>
                <c:pt idx="1">
                  <c:v>0.21521510156078183</c:v>
                </c:pt>
                <c:pt idx="2">
                  <c:v>0.21049167577944161</c:v>
                </c:pt>
                <c:pt idx="3">
                  <c:v>0.21062652674406113</c:v>
                </c:pt>
              </c:numCache>
            </c:numRef>
          </c:val>
          <c:extLst>
            <c:ext xmlns:c16="http://schemas.microsoft.com/office/drawing/2014/chart" uri="{C3380CC4-5D6E-409C-BE32-E72D297353CC}">
              <c16:uniqueId val="{00000001-97CA-4358-B02F-9C7DBA5A18F8}"/>
            </c:ext>
          </c:extLst>
        </c:ser>
        <c:dLbls>
          <c:showLegendKey val="0"/>
          <c:showVal val="0"/>
          <c:showCatName val="0"/>
          <c:showSerName val="0"/>
          <c:showPercent val="0"/>
          <c:showBubbleSize val="0"/>
        </c:dLbls>
        <c:gapWidth val="150"/>
        <c:overlap val="100"/>
        <c:axId val="2053167743"/>
        <c:axId val="2053176383"/>
      </c:barChart>
      <c:catAx>
        <c:axId val="2053167743"/>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Portfolio</a:t>
                </a:r>
                <a:r>
                  <a:rPr lang="en-US" baseline="0"/>
                  <a:t>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53176383"/>
        <c:crosses val="autoZero"/>
        <c:auto val="1"/>
        <c:lblAlgn val="ctr"/>
        <c:lblOffset val="100"/>
        <c:noMultiLvlLbl val="0"/>
      </c:catAx>
      <c:valAx>
        <c:axId val="2053176383"/>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Carbon-free of load</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53167743"/>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'P14-17 Tradeoffs'!$C$32</c:f>
              <c:strCache>
                <c:ptCount val="1"/>
                <c:pt idx="0">
                  <c:v>Net Cost ($B)</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Aptos" panose="020B0004020202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numRef>
              <c:f>'P14-17 Tradeoffs'!$B$33:$B$36</c:f>
              <c:numCache>
                <c:formatCode>General</c:formatCode>
                <c:ptCount val="4"/>
                <c:pt idx="0">
                  <c:v>12</c:v>
                </c:pt>
                <c:pt idx="1">
                  <c:v>15</c:v>
                </c:pt>
                <c:pt idx="2">
                  <c:v>16</c:v>
                </c:pt>
                <c:pt idx="3">
                  <c:v>17</c:v>
                </c:pt>
              </c:numCache>
            </c:numRef>
          </c:cat>
          <c:val>
            <c:numRef>
              <c:f>'P14-17 Tradeoffs'!$C$33:$C$36</c:f>
              <c:numCache>
                <c:formatCode>"$"#,##0.0</c:formatCode>
                <c:ptCount val="4"/>
                <c:pt idx="0">
                  <c:v>10.857590012694613</c:v>
                </c:pt>
                <c:pt idx="1">
                  <c:v>10.925653777682868</c:v>
                </c:pt>
                <c:pt idx="2">
                  <c:v>10.846411811098964</c:v>
                </c:pt>
                <c:pt idx="3">
                  <c:v>10.604367254095976</c:v>
                </c:pt>
              </c:numCache>
            </c:numRef>
          </c:val>
          <c:extLst>
            <c:ext xmlns:c16="http://schemas.microsoft.com/office/drawing/2014/chart" uri="{C3380CC4-5D6E-409C-BE32-E72D297353CC}">
              <c16:uniqueId val="{00000000-6B0D-4762-88AE-4F663BBB8980}"/>
            </c:ext>
          </c:extLst>
        </c:ser>
        <c:ser>
          <c:idx val="2"/>
          <c:order val="1"/>
          <c:tx>
            <c:strRef>
              <c:f>'P14-17 Tradeoffs'!$D$32</c:f>
              <c:strCache>
                <c:ptCount val="1"/>
                <c:pt idx="0">
                  <c:v>CO2 Emissions (Million Metric Tons)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Aptos" panose="020B0004020202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numRef>
              <c:f>'P14-17 Tradeoffs'!$B$33:$B$36</c:f>
              <c:numCache>
                <c:formatCode>General</c:formatCode>
                <c:ptCount val="4"/>
                <c:pt idx="0">
                  <c:v>12</c:v>
                </c:pt>
                <c:pt idx="1">
                  <c:v>15</c:v>
                </c:pt>
                <c:pt idx="2">
                  <c:v>16</c:v>
                </c:pt>
                <c:pt idx="3">
                  <c:v>17</c:v>
                </c:pt>
              </c:numCache>
            </c:numRef>
          </c:cat>
          <c:val>
            <c:numRef>
              <c:f>'P14-17 Tradeoffs'!$D$33:$D$36</c:f>
              <c:numCache>
                <c:formatCode>0.0</c:formatCode>
                <c:ptCount val="4"/>
                <c:pt idx="0">
                  <c:v>4.3</c:v>
                </c:pt>
                <c:pt idx="1">
                  <c:v>4.2</c:v>
                </c:pt>
                <c:pt idx="2">
                  <c:v>4.8</c:v>
                </c:pt>
                <c:pt idx="3">
                  <c:v>4.9000000000000004</c:v>
                </c:pt>
              </c:numCache>
            </c:numRef>
          </c:val>
          <c:extLst>
            <c:ext xmlns:c16="http://schemas.microsoft.com/office/drawing/2014/chart" uri="{C3380CC4-5D6E-409C-BE32-E72D297353CC}">
              <c16:uniqueId val="{00000001-6B0D-4762-88AE-4F663BBB8980}"/>
            </c:ext>
          </c:extLst>
        </c:ser>
        <c:dLbls>
          <c:showLegendKey val="0"/>
          <c:showVal val="0"/>
          <c:showCatName val="0"/>
          <c:showSerName val="0"/>
          <c:showPercent val="0"/>
          <c:showBubbleSize val="0"/>
        </c:dLbls>
        <c:gapWidth val="269"/>
        <c:overlap val="-100"/>
        <c:axId val="1581198687"/>
        <c:axId val="1581179007"/>
      </c:barChart>
      <c:barChart>
        <c:barDir val="col"/>
        <c:grouping val="clustered"/>
        <c:varyColors val="0"/>
        <c:ser>
          <c:idx val="1"/>
          <c:order val="2"/>
          <c:tx>
            <c:strRef>
              <c:f>'P14-17 Tradeoffs'!$E$32</c:f>
              <c:strCache>
                <c:ptCount val="1"/>
                <c:pt idx="0">
                  <c:v>Total Reliability Risk Hours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Aptos" panose="020B0004020202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numRef>
              <c:f>'P14-17 Tradeoffs'!$B$33:$B$36</c:f>
              <c:numCache>
                <c:formatCode>General</c:formatCode>
                <c:ptCount val="4"/>
                <c:pt idx="0">
                  <c:v>12</c:v>
                </c:pt>
                <c:pt idx="1">
                  <c:v>15</c:v>
                </c:pt>
                <c:pt idx="2">
                  <c:v>16</c:v>
                </c:pt>
                <c:pt idx="3">
                  <c:v>17</c:v>
                </c:pt>
              </c:numCache>
            </c:numRef>
          </c:cat>
          <c:val>
            <c:numRef>
              <c:f>'P14-17 Tradeoffs'!$E$33:$E$36</c:f>
              <c:numCache>
                <c:formatCode>#,##0</c:formatCode>
                <c:ptCount val="4"/>
                <c:pt idx="0">
                  <c:v>1482</c:v>
                </c:pt>
                <c:pt idx="1">
                  <c:v>371</c:v>
                </c:pt>
                <c:pt idx="2">
                  <c:v>104</c:v>
                </c:pt>
                <c:pt idx="3">
                  <c:v>115</c:v>
                </c:pt>
              </c:numCache>
            </c:numRef>
          </c:val>
          <c:extLst>
            <c:ext xmlns:c16="http://schemas.microsoft.com/office/drawing/2014/chart" uri="{C3380CC4-5D6E-409C-BE32-E72D297353CC}">
              <c16:uniqueId val="{00000002-6B0D-4762-88AE-4F663BBB8980}"/>
            </c:ext>
          </c:extLst>
        </c:ser>
        <c:dLbls>
          <c:showLegendKey val="0"/>
          <c:showVal val="0"/>
          <c:showCatName val="0"/>
          <c:showSerName val="0"/>
          <c:showPercent val="0"/>
          <c:showBubbleSize val="0"/>
        </c:dLbls>
        <c:gapWidth val="469"/>
        <c:overlap val="50"/>
        <c:axId val="1581222687"/>
        <c:axId val="1581204927"/>
      </c:barChart>
      <c:catAx>
        <c:axId val="1581198687"/>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chemeClr val="tx1">
                    <a:lumMod val="65000"/>
                    <a:lumOff val="35000"/>
                  </a:schemeClr>
                </a:solidFill>
                <a:latin typeface="+mn-lt"/>
                <a:ea typeface="+mn-ea"/>
                <a:cs typeface="+mn-cs"/>
              </a:defRPr>
            </a:pPr>
            <a:endParaRPr lang="en-US"/>
          </a:p>
        </c:txPr>
        <c:crossAx val="1581179007"/>
        <c:crosses val="autoZero"/>
        <c:auto val="1"/>
        <c:lblAlgn val="ctr"/>
        <c:lblOffset val="100"/>
        <c:noMultiLvlLbl val="0"/>
      </c:catAx>
      <c:valAx>
        <c:axId val="1581179007"/>
        <c:scaling>
          <c:orientation val="minMax"/>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5400000" spcFirstLastPara="1" vertOverflow="ellipsis" vert="horz" wrap="square" anchor="ctr" anchorCtr="1"/>
              <a:lstStyle/>
              <a:p>
                <a:pPr>
                  <a:defRPr sz="1200" b="0" i="0" u="none" strike="noStrike" kern="1200" cap="all" baseline="0">
                    <a:solidFill>
                      <a:schemeClr val="tx1">
                        <a:lumMod val="65000"/>
                        <a:lumOff val="35000"/>
                      </a:schemeClr>
                    </a:solidFill>
                    <a:latin typeface="Aptos" panose="020B0004020202020204" pitchFamily="34" charset="0"/>
                    <a:ea typeface="+mn-ea"/>
                    <a:cs typeface="+mn-cs"/>
                  </a:defRPr>
                </a:pPr>
                <a:r>
                  <a:rPr lang="en-US" sz="1200">
                    <a:latin typeface="Aptos" panose="020B0004020202020204" pitchFamily="34" charset="0"/>
                  </a:rPr>
                  <a:t>$Billion</a:t>
                </a:r>
              </a:p>
            </c:rich>
          </c:tx>
          <c:overlay val="0"/>
          <c:spPr>
            <a:noFill/>
            <a:ln>
              <a:noFill/>
            </a:ln>
            <a:effectLst/>
          </c:spPr>
          <c:txPr>
            <a:bodyPr rot="-5400000" spcFirstLastPara="1" vertOverflow="ellipsis" vert="horz" wrap="square" anchor="ctr" anchorCtr="1"/>
            <a:lstStyle/>
            <a:p>
              <a:pPr>
                <a:defRPr sz="1200" b="0" i="0" u="none" strike="noStrike" kern="1200" cap="all" baseline="0">
                  <a:solidFill>
                    <a:schemeClr val="tx1">
                      <a:lumMod val="65000"/>
                      <a:lumOff val="35000"/>
                    </a:schemeClr>
                  </a:solidFill>
                  <a:latin typeface="Aptos" panose="020B0004020202020204" pitchFamily="34" charset="0"/>
                  <a:ea typeface="+mn-ea"/>
                  <a:cs typeface="+mn-cs"/>
                </a:defRPr>
              </a:pPr>
              <a:endParaRPr lang="en-US"/>
            </a:p>
          </c:txPr>
        </c:title>
        <c:numFmt formatCode="&quot;$&quot;#,##0.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crossAx val="1581198687"/>
        <c:crosses val="autoZero"/>
        <c:crossBetween val="between"/>
      </c:valAx>
      <c:valAx>
        <c:axId val="1581204927"/>
        <c:scaling>
          <c:orientation val="minMax"/>
        </c:scaling>
        <c:delete val="0"/>
        <c:axPos val="r"/>
        <c:title>
          <c:tx>
            <c:rich>
              <a:bodyPr rot="-5400000" spcFirstLastPara="1" vertOverflow="ellipsis" vert="horz" wrap="square" anchor="ctr" anchorCtr="1"/>
              <a:lstStyle/>
              <a:p>
                <a:pPr>
                  <a:defRPr sz="1200" b="0" i="0" u="none" strike="noStrike" kern="1200" cap="all" baseline="0">
                    <a:solidFill>
                      <a:schemeClr val="tx1">
                        <a:lumMod val="65000"/>
                        <a:lumOff val="35000"/>
                      </a:schemeClr>
                    </a:solidFill>
                    <a:latin typeface="Aptos" panose="020B0004020202020204" pitchFamily="34" charset="0"/>
                    <a:ea typeface="+mn-ea"/>
                    <a:cs typeface="+mn-cs"/>
                  </a:defRPr>
                </a:pPr>
                <a:r>
                  <a:rPr lang="en-US" sz="1200">
                    <a:latin typeface="Aptos" panose="020B0004020202020204" pitchFamily="34" charset="0"/>
                  </a:rPr>
                  <a:t>Reliability</a:t>
                </a:r>
                <a:r>
                  <a:rPr lang="en-US" sz="1200" baseline="0">
                    <a:latin typeface="Aptos" panose="020B0004020202020204" pitchFamily="34" charset="0"/>
                  </a:rPr>
                  <a:t> Risk hours</a:t>
                </a:r>
                <a:endParaRPr lang="en-US" sz="1200">
                  <a:latin typeface="Aptos" panose="020B0004020202020204" pitchFamily="34" charset="0"/>
                </a:endParaRPr>
              </a:p>
            </c:rich>
          </c:tx>
          <c:overlay val="0"/>
          <c:spPr>
            <a:noFill/>
            <a:ln>
              <a:noFill/>
            </a:ln>
            <a:effectLst/>
          </c:spPr>
          <c:txPr>
            <a:bodyPr rot="-5400000" spcFirstLastPara="1" vertOverflow="ellipsis" vert="horz" wrap="square" anchor="ctr" anchorCtr="1"/>
            <a:lstStyle/>
            <a:p>
              <a:pPr>
                <a:defRPr sz="1200" b="0" i="0" u="none" strike="noStrike" kern="1200" cap="all" baseline="0">
                  <a:solidFill>
                    <a:schemeClr val="tx1">
                      <a:lumMod val="65000"/>
                      <a:lumOff val="35000"/>
                    </a:schemeClr>
                  </a:solidFill>
                  <a:latin typeface="Aptos" panose="020B0004020202020204" pitchFamily="34" charset="0"/>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1581222687"/>
        <c:crosses val="max"/>
        <c:crossBetween val="between"/>
      </c:valAx>
      <c:catAx>
        <c:axId val="1581222687"/>
        <c:scaling>
          <c:orientation val="minMax"/>
        </c:scaling>
        <c:delete val="1"/>
        <c:axPos val="b"/>
        <c:numFmt formatCode="General" sourceLinked="1"/>
        <c:majorTickMark val="out"/>
        <c:minorTickMark val="none"/>
        <c:tickLblPos val="nextTo"/>
        <c:crossAx val="1581204927"/>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'P14-17 Tradeoffs'!$C$56</c:f>
              <c:strCache>
                <c:ptCount val="1"/>
                <c:pt idx="0">
                  <c:v>Net Cost ($B)</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Aptos" panose="020B0004020202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numRef>
              <c:f>'P14-17 Tradeoffs'!$B$57:$B$58</c:f>
              <c:numCache>
                <c:formatCode>General</c:formatCode>
                <c:ptCount val="2"/>
                <c:pt idx="0">
                  <c:v>10</c:v>
                </c:pt>
                <c:pt idx="1">
                  <c:v>14</c:v>
                </c:pt>
              </c:numCache>
            </c:numRef>
          </c:cat>
          <c:val>
            <c:numRef>
              <c:f>'P14-17 Tradeoffs'!$C$57:$C$58</c:f>
              <c:numCache>
                <c:formatCode>"$"#,##0.0</c:formatCode>
                <c:ptCount val="2"/>
                <c:pt idx="0">
                  <c:v>9.8232670362372545</c:v>
                </c:pt>
                <c:pt idx="1">
                  <c:v>9.1482297936070847</c:v>
                </c:pt>
              </c:numCache>
            </c:numRef>
          </c:val>
          <c:extLst>
            <c:ext xmlns:c16="http://schemas.microsoft.com/office/drawing/2014/chart" uri="{C3380CC4-5D6E-409C-BE32-E72D297353CC}">
              <c16:uniqueId val="{00000000-0508-424A-9474-7A661CB20013}"/>
            </c:ext>
          </c:extLst>
        </c:ser>
        <c:ser>
          <c:idx val="2"/>
          <c:order val="1"/>
          <c:tx>
            <c:strRef>
              <c:f>'P14-17 Tradeoffs'!$D$56</c:f>
              <c:strCache>
                <c:ptCount val="1"/>
                <c:pt idx="0">
                  <c:v>CO2 Emissions (Million Metric Tons)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Aptos" panose="020B0004020202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numRef>
              <c:f>'P14-17 Tradeoffs'!$B$57:$B$58</c:f>
              <c:numCache>
                <c:formatCode>General</c:formatCode>
                <c:ptCount val="2"/>
                <c:pt idx="0">
                  <c:v>10</c:v>
                </c:pt>
                <c:pt idx="1">
                  <c:v>14</c:v>
                </c:pt>
              </c:numCache>
            </c:numRef>
          </c:cat>
          <c:val>
            <c:numRef>
              <c:f>'P14-17 Tradeoffs'!$D$57:$D$58</c:f>
              <c:numCache>
                <c:formatCode>0.0</c:formatCode>
                <c:ptCount val="2"/>
                <c:pt idx="0">
                  <c:v>6.3</c:v>
                </c:pt>
                <c:pt idx="1">
                  <c:v>6.786094529619886</c:v>
                </c:pt>
              </c:numCache>
            </c:numRef>
          </c:val>
          <c:extLst>
            <c:ext xmlns:c16="http://schemas.microsoft.com/office/drawing/2014/chart" uri="{C3380CC4-5D6E-409C-BE32-E72D297353CC}">
              <c16:uniqueId val="{00000001-0508-424A-9474-7A661CB20013}"/>
            </c:ext>
          </c:extLst>
        </c:ser>
        <c:dLbls>
          <c:showLegendKey val="0"/>
          <c:showVal val="0"/>
          <c:showCatName val="0"/>
          <c:showSerName val="0"/>
          <c:showPercent val="0"/>
          <c:showBubbleSize val="0"/>
        </c:dLbls>
        <c:gapWidth val="269"/>
        <c:overlap val="-100"/>
        <c:axId val="1581198687"/>
        <c:axId val="1581179007"/>
      </c:barChart>
      <c:barChart>
        <c:barDir val="col"/>
        <c:grouping val="clustered"/>
        <c:varyColors val="0"/>
        <c:ser>
          <c:idx val="1"/>
          <c:order val="2"/>
          <c:tx>
            <c:strRef>
              <c:f>'P14-17 Tradeoffs'!$E$56</c:f>
              <c:strCache>
                <c:ptCount val="1"/>
                <c:pt idx="0">
                  <c:v>Total Reliability Risk Hours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Aptos" panose="020B0004020202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numRef>
              <c:f>'P14-17 Tradeoffs'!$B$57:$B$58</c:f>
              <c:numCache>
                <c:formatCode>General</c:formatCode>
                <c:ptCount val="2"/>
                <c:pt idx="0">
                  <c:v>10</c:v>
                </c:pt>
                <c:pt idx="1">
                  <c:v>14</c:v>
                </c:pt>
              </c:numCache>
            </c:numRef>
          </c:cat>
          <c:val>
            <c:numRef>
              <c:f>'P14-17 Tradeoffs'!$E$57:$E$58</c:f>
              <c:numCache>
                <c:formatCode>#,##0</c:formatCode>
                <c:ptCount val="2"/>
                <c:pt idx="0">
                  <c:v>416</c:v>
                </c:pt>
                <c:pt idx="1">
                  <c:v>117</c:v>
                </c:pt>
              </c:numCache>
            </c:numRef>
          </c:val>
          <c:extLst>
            <c:ext xmlns:c16="http://schemas.microsoft.com/office/drawing/2014/chart" uri="{C3380CC4-5D6E-409C-BE32-E72D297353CC}">
              <c16:uniqueId val="{00000002-0508-424A-9474-7A661CB20013}"/>
            </c:ext>
          </c:extLst>
        </c:ser>
        <c:dLbls>
          <c:showLegendKey val="0"/>
          <c:showVal val="0"/>
          <c:showCatName val="0"/>
          <c:showSerName val="0"/>
          <c:showPercent val="0"/>
          <c:showBubbleSize val="0"/>
        </c:dLbls>
        <c:gapWidth val="469"/>
        <c:overlap val="50"/>
        <c:axId val="1581222687"/>
        <c:axId val="1581204927"/>
      </c:barChart>
      <c:catAx>
        <c:axId val="1581198687"/>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cap="none" spc="0" normalizeH="0" baseline="0">
                <a:solidFill>
                  <a:schemeClr val="tx1">
                    <a:lumMod val="65000"/>
                    <a:lumOff val="35000"/>
                  </a:schemeClr>
                </a:solidFill>
                <a:latin typeface="Aptos" panose="020B0004020202020204" pitchFamily="34" charset="0"/>
                <a:ea typeface="+mn-ea"/>
                <a:cs typeface="+mn-cs"/>
              </a:defRPr>
            </a:pPr>
            <a:endParaRPr lang="en-US"/>
          </a:p>
        </c:txPr>
        <c:crossAx val="1581179007"/>
        <c:crosses val="autoZero"/>
        <c:auto val="1"/>
        <c:lblAlgn val="ctr"/>
        <c:lblOffset val="100"/>
        <c:noMultiLvlLbl val="0"/>
      </c:catAx>
      <c:valAx>
        <c:axId val="1581179007"/>
        <c:scaling>
          <c:orientation val="minMax"/>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5400000" spcFirstLastPara="1" vertOverflow="ellipsis" vert="horz" wrap="square" anchor="ctr" anchorCtr="1"/>
              <a:lstStyle/>
              <a:p>
                <a:pPr>
                  <a:defRPr sz="1200" b="0" i="0" u="none" strike="noStrike" kern="1200" cap="all" baseline="0">
                    <a:solidFill>
                      <a:schemeClr val="tx1">
                        <a:lumMod val="65000"/>
                        <a:lumOff val="35000"/>
                      </a:schemeClr>
                    </a:solidFill>
                    <a:latin typeface="Aptos" panose="020B0004020202020204" pitchFamily="34" charset="0"/>
                    <a:ea typeface="+mn-ea"/>
                    <a:cs typeface="+mn-cs"/>
                  </a:defRPr>
                </a:pPr>
                <a:r>
                  <a:rPr lang="en-US" sz="1200">
                    <a:latin typeface="Aptos" panose="020B0004020202020204" pitchFamily="34" charset="0"/>
                  </a:rPr>
                  <a:t>$BILLION</a:t>
                </a:r>
              </a:p>
            </c:rich>
          </c:tx>
          <c:overlay val="0"/>
          <c:spPr>
            <a:noFill/>
            <a:ln>
              <a:noFill/>
            </a:ln>
            <a:effectLst/>
          </c:spPr>
          <c:txPr>
            <a:bodyPr rot="-5400000" spcFirstLastPara="1" vertOverflow="ellipsis" vert="horz" wrap="square" anchor="ctr" anchorCtr="1"/>
            <a:lstStyle/>
            <a:p>
              <a:pPr>
                <a:defRPr sz="1200" b="0" i="0" u="none" strike="noStrike" kern="1200" cap="all" baseline="0">
                  <a:solidFill>
                    <a:schemeClr val="tx1">
                      <a:lumMod val="65000"/>
                      <a:lumOff val="35000"/>
                    </a:schemeClr>
                  </a:solidFill>
                  <a:latin typeface="Aptos" panose="020B0004020202020204" pitchFamily="34" charset="0"/>
                  <a:ea typeface="+mn-ea"/>
                  <a:cs typeface="+mn-cs"/>
                </a:defRPr>
              </a:pPr>
              <a:endParaRPr lang="en-US"/>
            </a:p>
          </c:txPr>
        </c:title>
        <c:numFmt formatCode="&quot;$&quot;#,##0.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crossAx val="1581198687"/>
        <c:crosses val="autoZero"/>
        <c:crossBetween val="between"/>
      </c:valAx>
      <c:valAx>
        <c:axId val="1581204927"/>
        <c:scaling>
          <c:orientation val="minMax"/>
        </c:scaling>
        <c:delete val="0"/>
        <c:axPos val="r"/>
        <c:title>
          <c:tx>
            <c:rich>
              <a:bodyPr rot="-5400000" spcFirstLastPara="1" vertOverflow="ellipsis" vert="horz" wrap="square" anchor="ctr" anchorCtr="1"/>
              <a:lstStyle/>
              <a:p>
                <a:pPr>
                  <a:defRPr sz="1200" b="0" i="0" u="none" strike="noStrike" kern="1200" cap="all" baseline="0">
                    <a:solidFill>
                      <a:schemeClr val="tx1">
                        <a:lumMod val="65000"/>
                        <a:lumOff val="35000"/>
                      </a:schemeClr>
                    </a:solidFill>
                    <a:latin typeface="Aptos" panose="020B0004020202020204" pitchFamily="34" charset="0"/>
                    <a:ea typeface="+mn-ea"/>
                    <a:cs typeface="+mn-cs"/>
                  </a:defRPr>
                </a:pPr>
                <a:r>
                  <a:rPr lang="en-US" sz="1200">
                    <a:latin typeface="Aptos" panose="020B0004020202020204" pitchFamily="34" charset="0"/>
                  </a:rPr>
                  <a:t>Reliability</a:t>
                </a:r>
                <a:r>
                  <a:rPr lang="en-US" sz="1200" baseline="0">
                    <a:latin typeface="Aptos" panose="020B0004020202020204" pitchFamily="34" charset="0"/>
                  </a:rPr>
                  <a:t> Risk hours</a:t>
                </a:r>
                <a:endParaRPr lang="en-US" sz="1200">
                  <a:latin typeface="Aptos" panose="020B0004020202020204" pitchFamily="34" charset="0"/>
                </a:endParaRPr>
              </a:p>
            </c:rich>
          </c:tx>
          <c:overlay val="0"/>
          <c:spPr>
            <a:noFill/>
            <a:ln>
              <a:noFill/>
            </a:ln>
            <a:effectLst/>
          </c:spPr>
          <c:txPr>
            <a:bodyPr rot="-5400000" spcFirstLastPara="1" vertOverflow="ellipsis" vert="horz" wrap="square" anchor="ctr" anchorCtr="1"/>
            <a:lstStyle/>
            <a:p>
              <a:pPr>
                <a:defRPr sz="1200" b="0" i="0" u="none" strike="noStrike" kern="1200" cap="all" baseline="0">
                  <a:solidFill>
                    <a:schemeClr val="tx1">
                      <a:lumMod val="65000"/>
                      <a:lumOff val="35000"/>
                    </a:schemeClr>
                  </a:solidFill>
                  <a:latin typeface="Aptos" panose="020B0004020202020204" pitchFamily="34" charset="0"/>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1581222687"/>
        <c:crosses val="max"/>
        <c:crossBetween val="between"/>
      </c:valAx>
      <c:catAx>
        <c:axId val="1581222687"/>
        <c:scaling>
          <c:orientation val="minMax"/>
        </c:scaling>
        <c:delete val="1"/>
        <c:axPos val="b"/>
        <c:numFmt formatCode="General" sourceLinked="1"/>
        <c:majorTickMark val="out"/>
        <c:minorTickMark val="none"/>
        <c:tickLblPos val="nextTo"/>
        <c:crossAx val="1581204927"/>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5352753652574535E-2"/>
          <c:y val="3.9033930968991708E-2"/>
          <c:w val="0.82298514187872451"/>
          <c:h val="0.81465322900810566"/>
        </c:manualLayout>
      </c:layout>
      <c:barChart>
        <c:barDir val="col"/>
        <c:grouping val="clustered"/>
        <c:varyColors val="0"/>
        <c:ser>
          <c:idx val="0"/>
          <c:order val="0"/>
          <c:tx>
            <c:strRef>
              <c:f>'P14-17 Tradeoffs'!$C$3</c:f>
              <c:strCache>
                <c:ptCount val="1"/>
                <c:pt idx="0">
                  <c:v>Net Cost ($B)</c:v>
                </c:pt>
              </c:strCache>
            </c:strRef>
          </c:tx>
          <c:spPr>
            <a:solidFill>
              <a:schemeClr val="accent1"/>
            </a:solidFill>
            <a:ln>
              <a:noFill/>
            </a:ln>
            <a:effectLst/>
          </c:spPr>
          <c:invertIfNegative val="0"/>
          <c:cat>
            <c:numRef>
              <c:f>'P14-17 Tradeoffs'!$B$4:$B$7</c:f>
              <c:numCache>
                <c:formatCode>General</c:formatCode>
                <c:ptCount val="4"/>
                <c:pt idx="0">
                  <c:v>14</c:v>
                </c:pt>
                <c:pt idx="1">
                  <c:v>15</c:v>
                </c:pt>
                <c:pt idx="2">
                  <c:v>16</c:v>
                </c:pt>
                <c:pt idx="3">
                  <c:v>17</c:v>
                </c:pt>
              </c:numCache>
            </c:numRef>
          </c:cat>
          <c:val>
            <c:numRef>
              <c:f>'P14-17 Tradeoffs'!$C$4:$C$7</c:f>
              <c:numCache>
                <c:formatCode>"$"#,##0.0</c:formatCode>
                <c:ptCount val="4"/>
                <c:pt idx="0">
                  <c:v>9.1482297936070847</c:v>
                </c:pt>
                <c:pt idx="1">
                  <c:v>10.925653777682868</c:v>
                </c:pt>
                <c:pt idx="2">
                  <c:v>10.846411811098964</c:v>
                </c:pt>
                <c:pt idx="3">
                  <c:v>10.604367254095976</c:v>
                </c:pt>
              </c:numCache>
            </c:numRef>
          </c:val>
          <c:extLst>
            <c:ext xmlns:c16="http://schemas.microsoft.com/office/drawing/2014/chart" uri="{C3380CC4-5D6E-409C-BE32-E72D297353CC}">
              <c16:uniqueId val="{00000000-B7B8-4C70-BA25-F61525A3DAB4}"/>
            </c:ext>
          </c:extLst>
        </c:ser>
        <c:ser>
          <c:idx val="2"/>
          <c:order val="2"/>
          <c:tx>
            <c:strRef>
              <c:f>'P14-17 Tradeoffs'!$D$3</c:f>
              <c:strCache>
                <c:ptCount val="1"/>
                <c:pt idx="0">
                  <c:v>CO2 Emissions (Million Metric Tons)</c:v>
                </c:pt>
              </c:strCache>
            </c:strRef>
          </c:tx>
          <c:spPr>
            <a:solidFill>
              <a:schemeClr val="accent3"/>
            </a:solidFill>
            <a:ln>
              <a:noFill/>
            </a:ln>
            <a:effectLst/>
          </c:spPr>
          <c:invertIfNegative val="0"/>
          <c:cat>
            <c:numRef>
              <c:f>'P14-17 Tradeoffs'!$B$4:$B$7</c:f>
              <c:numCache>
                <c:formatCode>General</c:formatCode>
                <c:ptCount val="4"/>
                <c:pt idx="0">
                  <c:v>14</c:v>
                </c:pt>
                <c:pt idx="1">
                  <c:v>15</c:v>
                </c:pt>
                <c:pt idx="2">
                  <c:v>16</c:v>
                </c:pt>
                <c:pt idx="3">
                  <c:v>17</c:v>
                </c:pt>
              </c:numCache>
            </c:numRef>
          </c:cat>
          <c:val>
            <c:numRef>
              <c:f>'P14-17 Tradeoffs'!$D$4:$D$7</c:f>
              <c:numCache>
                <c:formatCode>0.0</c:formatCode>
                <c:ptCount val="4"/>
                <c:pt idx="0">
                  <c:v>6.786094529619886</c:v>
                </c:pt>
                <c:pt idx="1">
                  <c:v>4.2</c:v>
                </c:pt>
                <c:pt idx="2">
                  <c:v>4.8</c:v>
                </c:pt>
                <c:pt idx="3">
                  <c:v>4.9000000000000004</c:v>
                </c:pt>
              </c:numCache>
            </c:numRef>
          </c:val>
          <c:extLst>
            <c:ext xmlns:c16="http://schemas.microsoft.com/office/drawing/2014/chart" uri="{C3380CC4-5D6E-409C-BE32-E72D297353CC}">
              <c16:uniqueId val="{00000001-B7B8-4C70-BA25-F61525A3DAB4}"/>
            </c:ext>
          </c:extLst>
        </c:ser>
        <c:dLbls>
          <c:showLegendKey val="0"/>
          <c:showVal val="0"/>
          <c:showCatName val="0"/>
          <c:showSerName val="0"/>
          <c:showPercent val="0"/>
          <c:showBubbleSize val="0"/>
        </c:dLbls>
        <c:gapWidth val="269"/>
        <c:overlap val="-100"/>
        <c:axId val="1581198687"/>
        <c:axId val="1581179007"/>
      </c:barChart>
      <c:barChart>
        <c:barDir val="col"/>
        <c:grouping val="clustered"/>
        <c:varyColors val="0"/>
        <c:ser>
          <c:idx val="1"/>
          <c:order val="1"/>
          <c:tx>
            <c:strRef>
              <c:f>'P14-17 Tradeoffs'!$E$3</c:f>
              <c:strCache>
                <c:ptCount val="1"/>
                <c:pt idx="0">
                  <c:v>Total Reliability Risk Hours</c:v>
                </c:pt>
              </c:strCache>
            </c:strRef>
          </c:tx>
          <c:spPr>
            <a:solidFill>
              <a:schemeClr val="accent2"/>
            </a:solidFill>
            <a:ln>
              <a:noFill/>
            </a:ln>
            <a:effectLst/>
          </c:spPr>
          <c:invertIfNegative val="0"/>
          <c:cat>
            <c:numRef>
              <c:f>'P14-17 Tradeoffs'!$B$4:$B$7</c:f>
              <c:numCache>
                <c:formatCode>General</c:formatCode>
                <c:ptCount val="4"/>
                <c:pt idx="0">
                  <c:v>14</c:v>
                </c:pt>
                <c:pt idx="1">
                  <c:v>15</c:v>
                </c:pt>
                <c:pt idx="2">
                  <c:v>16</c:v>
                </c:pt>
                <c:pt idx="3">
                  <c:v>17</c:v>
                </c:pt>
              </c:numCache>
            </c:numRef>
          </c:cat>
          <c:val>
            <c:numRef>
              <c:f>'P14-17 Tradeoffs'!$E$4:$E$7</c:f>
              <c:numCache>
                <c:formatCode>#,##0</c:formatCode>
                <c:ptCount val="4"/>
                <c:pt idx="0">
                  <c:v>117</c:v>
                </c:pt>
                <c:pt idx="1">
                  <c:v>371</c:v>
                </c:pt>
                <c:pt idx="2">
                  <c:v>104</c:v>
                </c:pt>
                <c:pt idx="3">
                  <c:v>115</c:v>
                </c:pt>
              </c:numCache>
            </c:numRef>
          </c:val>
          <c:extLst>
            <c:ext xmlns:c16="http://schemas.microsoft.com/office/drawing/2014/chart" uri="{C3380CC4-5D6E-409C-BE32-E72D297353CC}">
              <c16:uniqueId val="{00000002-B7B8-4C70-BA25-F61525A3DAB4}"/>
            </c:ext>
          </c:extLst>
        </c:ser>
        <c:dLbls>
          <c:showLegendKey val="0"/>
          <c:showVal val="0"/>
          <c:showCatName val="0"/>
          <c:showSerName val="0"/>
          <c:showPercent val="0"/>
          <c:showBubbleSize val="0"/>
        </c:dLbls>
        <c:gapWidth val="469"/>
        <c:overlap val="50"/>
        <c:axId val="1581222687"/>
        <c:axId val="1581204927"/>
      </c:barChart>
      <c:catAx>
        <c:axId val="1581198687"/>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chemeClr val="tx1">
                    <a:lumMod val="65000"/>
                    <a:lumOff val="35000"/>
                  </a:schemeClr>
                </a:solidFill>
                <a:latin typeface="+mn-lt"/>
                <a:ea typeface="+mn-ea"/>
                <a:cs typeface="+mn-cs"/>
              </a:defRPr>
            </a:pPr>
            <a:endParaRPr lang="en-US"/>
          </a:p>
        </c:txPr>
        <c:crossAx val="1581179007"/>
        <c:crosses val="autoZero"/>
        <c:auto val="1"/>
        <c:lblAlgn val="ctr"/>
        <c:lblOffset val="100"/>
        <c:noMultiLvlLbl val="0"/>
      </c:catAx>
      <c:valAx>
        <c:axId val="1581179007"/>
        <c:scaling>
          <c:orientation val="minMax"/>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5400000" spcFirstLastPara="1" vertOverflow="ellipsis" vert="horz" wrap="square" anchor="ctr" anchorCtr="1"/>
              <a:lstStyle/>
              <a:p>
                <a:pPr>
                  <a:defRPr sz="1200" b="0" i="0" u="none" strike="noStrike" kern="1200" cap="all" baseline="0">
                    <a:solidFill>
                      <a:schemeClr val="tx1">
                        <a:lumMod val="65000"/>
                        <a:lumOff val="35000"/>
                      </a:schemeClr>
                    </a:solidFill>
                    <a:latin typeface="Aptos" panose="020B0004020202020204" pitchFamily="34" charset="0"/>
                    <a:ea typeface="+mn-ea"/>
                    <a:cs typeface="+mn-cs"/>
                  </a:defRPr>
                </a:pPr>
                <a:r>
                  <a:rPr lang="en-US" sz="1200">
                    <a:latin typeface="Aptos" panose="020B0004020202020204" pitchFamily="34" charset="0"/>
                  </a:rPr>
                  <a:t>$Billion</a:t>
                </a:r>
              </a:p>
            </c:rich>
          </c:tx>
          <c:overlay val="0"/>
          <c:spPr>
            <a:noFill/>
            <a:ln>
              <a:noFill/>
            </a:ln>
            <a:effectLst/>
          </c:spPr>
          <c:txPr>
            <a:bodyPr rot="-5400000" spcFirstLastPara="1" vertOverflow="ellipsis" vert="horz" wrap="square" anchor="ctr" anchorCtr="1"/>
            <a:lstStyle/>
            <a:p>
              <a:pPr>
                <a:defRPr sz="1200" b="0" i="0" u="none" strike="noStrike" kern="1200" cap="all" baseline="0">
                  <a:solidFill>
                    <a:schemeClr val="tx1">
                      <a:lumMod val="65000"/>
                      <a:lumOff val="35000"/>
                    </a:schemeClr>
                  </a:solidFill>
                  <a:latin typeface="Aptos" panose="020B0004020202020204" pitchFamily="34" charset="0"/>
                  <a:ea typeface="+mn-ea"/>
                  <a:cs typeface="+mn-cs"/>
                </a:defRPr>
              </a:pPr>
              <a:endParaRPr lang="en-US"/>
            </a:p>
          </c:txPr>
        </c:title>
        <c:numFmt formatCode="&quot;$&quot;#,##0.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crossAx val="1581198687"/>
        <c:crosses val="autoZero"/>
        <c:crossBetween val="between"/>
      </c:valAx>
      <c:valAx>
        <c:axId val="1581204927"/>
        <c:scaling>
          <c:orientation val="minMax"/>
        </c:scaling>
        <c:delete val="0"/>
        <c:axPos val="r"/>
        <c:title>
          <c:tx>
            <c:rich>
              <a:bodyPr rot="-5400000" spcFirstLastPara="1" vertOverflow="ellipsis" vert="horz" wrap="square" anchor="ctr" anchorCtr="1"/>
              <a:lstStyle/>
              <a:p>
                <a:pPr>
                  <a:defRPr sz="1200" b="0" i="0" u="none" strike="noStrike" kern="1200" cap="all" baseline="0">
                    <a:solidFill>
                      <a:schemeClr val="tx1">
                        <a:lumMod val="65000"/>
                        <a:lumOff val="35000"/>
                      </a:schemeClr>
                    </a:solidFill>
                    <a:latin typeface="Aptos" panose="020B0004020202020204" pitchFamily="34" charset="0"/>
                    <a:ea typeface="+mn-ea"/>
                    <a:cs typeface="+mn-cs"/>
                  </a:defRPr>
                </a:pPr>
                <a:r>
                  <a:rPr lang="en-US" sz="1200">
                    <a:latin typeface="Aptos" panose="020B0004020202020204" pitchFamily="34" charset="0"/>
                  </a:rPr>
                  <a:t>Reliability</a:t>
                </a:r>
                <a:r>
                  <a:rPr lang="en-US" sz="1200" baseline="0">
                    <a:latin typeface="Aptos" panose="020B0004020202020204" pitchFamily="34" charset="0"/>
                  </a:rPr>
                  <a:t> Risk hours</a:t>
                </a:r>
                <a:endParaRPr lang="en-US" sz="1200">
                  <a:latin typeface="Aptos" panose="020B0004020202020204" pitchFamily="34" charset="0"/>
                </a:endParaRPr>
              </a:p>
            </c:rich>
          </c:tx>
          <c:overlay val="0"/>
          <c:spPr>
            <a:noFill/>
            <a:ln>
              <a:noFill/>
            </a:ln>
            <a:effectLst/>
          </c:spPr>
          <c:txPr>
            <a:bodyPr rot="-5400000" spcFirstLastPara="1" vertOverflow="ellipsis" vert="horz" wrap="square" anchor="ctr" anchorCtr="1"/>
            <a:lstStyle/>
            <a:p>
              <a:pPr>
                <a:defRPr sz="1200" b="0" i="0" u="none" strike="noStrike" kern="1200" cap="all" baseline="0">
                  <a:solidFill>
                    <a:schemeClr val="tx1">
                      <a:lumMod val="65000"/>
                      <a:lumOff val="35000"/>
                    </a:schemeClr>
                  </a:solidFill>
                  <a:latin typeface="Aptos" panose="020B0004020202020204" pitchFamily="34" charset="0"/>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1581222687"/>
        <c:crosses val="max"/>
        <c:crossBetween val="between"/>
      </c:valAx>
      <c:catAx>
        <c:axId val="1581222687"/>
        <c:scaling>
          <c:orientation val="minMax"/>
        </c:scaling>
        <c:delete val="1"/>
        <c:axPos val="b"/>
        <c:numFmt formatCode="General" sourceLinked="1"/>
        <c:majorTickMark val="out"/>
        <c:minorTickMark val="none"/>
        <c:tickLblPos val="nextTo"/>
        <c:crossAx val="1581204927"/>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EUC Portfolios DSM vs. DNV Market</a:t>
            </a:r>
            <a:r>
              <a:rPr lang="en-US" baseline="0"/>
              <a:t> Potential Study</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4"/>
          <c:order val="0"/>
          <c:tx>
            <c:strRef>
              <c:f>'AE DSM Existing Projections'!$A$5</c:f>
              <c:strCache>
                <c:ptCount val="1"/>
                <c:pt idx="0">
                  <c:v>Max Economic Market Potential from DNV Study</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Aptos" panose="020B0004020202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'AE DSM Existing Projections'!$B$5:$D$5</c:f>
              <c:numCache>
                <c:formatCode>General</c:formatCode>
                <c:ptCount val="3"/>
                <c:pt idx="0">
                  <c:v>360</c:v>
                </c:pt>
                <c:pt idx="1">
                  <c:v>269</c:v>
                </c:pt>
                <c:pt idx="2">
                  <c:v>431</c:v>
                </c:pt>
              </c:numCache>
            </c:numRef>
          </c:val>
          <c:extLst>
            <c:ext xmlns:c16="http://schemas.microsoft.com/office/drawing/2014/chart" uri="{C3380CC4-5D6E-409C-BE32-E72D297353CC}">
              <c16:uniqueId val="{00000000-0DD3-4DC9-A7C4-538DFF65B747}"/>
            </c:ext>
          </c:extLst>
        </c:ser>
        <c:ser>
          <c:idx val="5"/>
          <c:order val="1"/>
          <c:tx>
            <c:strRef>
              <c:f>'AE DSM Existing Projections'!$A$6</c:f>
              <c:strCache>
                <c:ptCount val="1"/>
                <c:pt idx="0">
                  <c:v>Portfolio 14</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Aptos" panose="020B0004020202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'AE DSM Existing Projections'!$B$6:$D$6</c:f>
              <c:numCache>
                <c:formatCode>General</c:formatCode>
                <c:ptCount val="3"/>
                <c:pt idx="0">
                  <c:v>360</c:v>
                </c:pt>
                <c:pt idx="1">
                  <c:v>269</c:v>
                </c:pt>
                <c:pt idx="2">
                  <c:v>431</c:v>
                </c:pt>
              </c:numCache>
            </c:numRef>
          </c:val>
          <c:extLst>
            <c:ext xmlns:c16="http://schemas.microsoft.com/office/drawing/2014/chart" uri="{C3380CC4-5D6E-409C-BE32-E72D297353CC}">
              <c16:uniqueId val="{00000001-0DD3-4DC9-A7C4-538DFF65B747}"/>
            </c:ext>
          </c:extLst>
        </c:ser>
        <c:ser>
          <c:idx val="1"/>
          <c:order val="2"/>
          <c:tx>
            <c:strRef>
              <c:f>'AE DSM Existing Projections'!$A$7</c:f>
              <c:strCache>
                <c:ptCount val="1"/>
                <c:pt idx="0">
                  <c:v>Portfolio 15</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Aptos" panose="020B0004020202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'AE DSM Existing Projections'!$B$4:$D$4</c:f>
              <c:strCache>
                <c:ptCount val="3"/>
                <c:pt idx="0">
                  <c:v>Energy Efficiency</c:v>
                </c:pt>
                <c:pt idx="1">
                  <c:v>Demand Response</c:v>
                </c:pt>
                <c:pt idx="2">
                  <c:v>Local Solar</c:v>
                </c:pt>
              </c:strCache>
            </c:strRef>
          </c:cat>
          <c:val>
            <c:numRef>
              <c:f>'AE DSM Existing Projections'!$B$7:$D$7</c:f>
              <c:numCache>
                <c:formatCode>General</c:formatCode>
                <c:ptCount val="3"/>
                <c:pt idx="0">
                  <c:v>540</c:v>
                </c:pt>
                <c:pt idx="1">
                  <c:v>325</c:v>
                </c:pt>
                <c:pt idx="2">
                  <c:v>960</c:v>
                </c:pt>
              </c:numCache>
            </c:numRef>
          </c:val>
          <c:extLst>
            <c:ext xmlns:c16="http://schemas.microsoft.com/office/drawing/2014/chart" uri="{C3380CC4-5D6E-409C-BE32-E72D297353CC}">
              <c16:uniqueId val="{00000002-0DD3-4DC9-A7C4-538DFF65B747}"/>
            </c:ext>
          </c:extLst>
        </c:ser>
        <c:ser>
          <c:idx val="2"/>
          <c:order val="3"/>
          <c:tx>
            <c:strRef>
              <c:f>'AE DSM Existing Projections'!$A$8</c:f>
              <c:strCache>
                <c:ptCount val="1"/>
                <c:pt idx="0">
                  <c:v>Portfolio 16</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Aptos" panose="020B0004020202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'AE DSM Existing Projections'!$B$4:$D$4</c:f>
              <c:strCache>
                <c:ptCount val="3"/>
                <c:pt idx="0">
                  <c:v>Energy Efficiency</c:v>
                </c:pt>
                <c:pt idx="1">
                  <c:v>Demand Response</c:v>
                </c:pt>
                <c:pt idx="2">
                  <c:v>Local Solar</c:v>
                </c:pt>
              </c:strCache>
            </c:strRef>
          </c:cat>
          <c:val>
            <c:numRef>
              <c:f>'AE DSM Existing Projections'!$B$8:$D$8</c:f>
              <c:numCache>
                <c:formatCode>General</c:formatCode>
                <c:ptCount val="3"/>
                <c:pt idx="0">
                  <c:v>540</c:v>
                </c:pt>
                <c:pt idx="1">
                  <c:v>400</c:v>
                </c:pt>
                <c:pt idx="2">
                  <c:v>860</c:v>
                </c:pt>
              </c:numCache>
            </c:numRef>
          </c:val>
          <c:extLst>
            <c:ext xmlns:c16="http://schemas.microsoft.com/office/drawing/2014/chart" uri="{C3380CC4-5D6E-409C-BE32-E72D297353CC}">
              <c16:uniqueId val="{00000003-0DD3-4DC9-A7C4-538DFF65B747}"/>
            </c:ext>
          </c:extLst>
        </c:ser>
        <c:ser>
          <c:idx val="3"/>
          <c:order val="4"/>
          <c:tx>
            <c:strRef>
              <c:f>'AE DSM Existing Projections'!$A$9</c:f>
              <c:strCache>
                <c:ptCount val="1"/>
                <c:pt idx="0">
                  <c:v>Portfolio 17</c:v>
                </c:pt>
              </c:strCache>
            </c:strRef>
          </c:tx>
          <c:spPr>
            <a:solidFill>
              <a:schemeClr val="accent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ptos" panose="020B0004020202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'AE DSM Existing Projections'!$B$4:$D$4</c:f>
              <c:strCache>
                <c:ptCount val="3"/>
                <c:pt idx="0">
                  <c:v>Energy Efficiency</c:v>
                </c:pt>
                <c:pt idx="1">
                  <c:v>Demand Response</c:v>
                </c:pt>
                <c:pt idx="2">
                  <c:v>Local Solar</c:v>
                </c:pt>
              </c:strCache>
            </c:strRef>
          </c:cat>
          <c:val>
            <c:numRef>
              <c:f>'AE DSM Existing Projections'!$B$9:$D$9</c:f>
              <c:numCache>
                <c:formatCode>General</c:formatCode>
                <c:ptCount val="3"/>
                <c:pt idx="0">
                  <c:v>540</c:v>
                </c:pt>
                <c:pt idx="1">
                  <c:v>300</c:v>
                </c:pt>
                <c:pt idx="2">
                  <c:v>700</c:v>
                </c:pt>
              </c:numCache>
            </c:numRef>
          </c:val>
          <c:extLst>
            <c:ext xmlns:c16="http://schemas.microsoft.com/office/drawing/2014/chart" uri="{C3380CC4-5D6E-409C-BE32-E72D297353CC}">
              <c16:uniqueId val="{00000004-0DD3-4DC9-A7C4-538DFF65B747}"/>
            </c:ext>
          </c:extLst>
        </c:ser>
        <c:dLbls>
          <c:showLegendKey val="0"/>
          <c:showVal val="0"/>
          <c:showCatName val="0"/>
          <c:showSerName val="0"/>
          <c:showPercent val="0"/>
          <c:showBubbleSize val="0"/>
        </c:dLbls>
        <c:gapWidth val="219"/>
        <c:overlap val="-27"/>
        <c:axId val="743787743"/>
        <c:axId val="743806463"/>
      </c:barChart>
      <c:catAx>
        <c:axId val="74378774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crossAx val="743806463"/>
        <c:crosses val="autoZero"/>
        <c:auto val="1"/>
        <c:lblAlgn val="ctr"/>
        <c:lblOffset val="100"/>
        <c:noMultiLvlLbl val="0"/>
      </c:catAx>
      <c:valAx>
        <c:axId val="743806463"/>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chemeClr val="tx1">
                        <a:lumMod val="65000"/>
                        <a:lumOff val="35000"/>
                      </a:schemeClr>
                    </a:solidFill>
                    <a:latin typeface="Aptos" panose="020B0004020202020204" pitchFamily="34" charset="0"/>
                    <a:ea typeface="+mn-ea"/>
                    <a:cs typeface="+mn-cs"/>
                  </a:defRPr>
                </a:pPr>
                <a:r>
                  <a:rPr lang="en-US" sz="1200">
                    <a:latin typeface="Aptos" panose="020B0004020202020204" pitchFamily="34" charset="0"/>
                  </a:rPr>
                  <a:t>MW</a:t>
                </a:r>
              </a:p>
            </c:rich>
          </c:tx>
          <c:overlay val="0"/>
          <c:spPr>
            <a:noFill/>
            <a:ln>
              <a:noFill/>
            </a:ln>
            <a:effectLst/>
          </c:spPr>
          <c:txPr>
            <a:bodyPr rot="-5400000" spcFirstLastPara="1" vertOverflow="ellipsis" vert="horz" wrap="square" anchor="ctr" anchorCtr="1"/>
            <a:lstStyle/>
            <a:p>
              <a:pPr>
                <a:defRPr sz="12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crossAx val="743787743"/>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Aptos" panose="020B0004020202020204" pitchFamily="34" charset="0"/>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9.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5.xml><?xml version="1.0" encoding="utf-8"?>
<cs:chartStyle xmlns:cs="http://schemas.microsoft.com/office/drawing/2012/chartStyle" xmlns:a="http://schemas.openxmlformats.org/drawingml/2006/main" id="225">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b="0" kern="1200" cap="none" spc="0" normalizeH="0" baseline="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75000"/>
        <a:lumOff val="25000"/>
      </a:schemeClr>
    </cs:fontRef>
    <cs:spPr>
      <a:solidFill>
        <a:schemeClr val="dk1">
          <a:lumMod val="15000"/>
          <a:lumOff val="85000"/>
        </a:schemeClr>
      </a:solidFill>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3810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8"/>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50000"/>
            <a:lumOff val="50000"/>
          </a:schemeClr>
        </a:solidFill>
        <a:prstDash val="dash"/>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w="9525" cap="flat" cmpd="sng" algn="ctr">
        <a:solidFill>
          <a:schemeClr val="tx1">
            <a:lumMod val="5000"/>
            <a:lumOff val="95000"/>
          </a:schemeClr>
        </a:solidFill>
        <a:round/>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ajor">
      <a:schemeClr val="tx1">
        <a:lumMod val="65000"/>
        <a:lumOff val="35000"/>
      </a:schemeClr>
    </cs:fontRef>
    <cs:defRPr sz="2000" b="0" kern="1200" cap="none" spc="0" normalizeH="0" baseline="0"/>
  </cs:title>
  <cs:trendline>
    <cs:lnRef idx="0">
      <cs:styleClr val="auto"/>
    </cs:lnRef>
    <cs:fillRef idx="0"/>
    <cs:effectRef idx="0"/>
    <cs:fontRef idx="minor">
      <a:schemeClr val="dk1"/>
    </cs:fontRef>
    <cs:spPr>
      <a:ln w="19050" cap="rnd">
        <a:solidFill>
          <a:schemeClr val="phClr"/>
        </a:solidFill>
        <a:round/>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36.xml><?xml version="1.0" encoding="utf-8"?>
<cs:chartStyle xmlns:cs="http://schemas.microsoft.com/office/drawing/2012/chartStyle" xmlns:a="http://schemas.openxmlformats.org/drawingml/2006/main" id="225">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b="0" kern="1200" cap="none" spc="0" normalizeH="0" baseline="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75000"/>
        <a:lumOff val="25000"/>
      </a:schemeClr>
    </cs:fontRef>
    <cs:spPr>
      <a:solidFill>
        <a:schemeClr val="dk1">
          <a:lumMod val="15000"/>
          <a:lumOff val="85000"/>
        </a:schemeClr>
      </a:solidFill>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3810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8"/>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50000"/>
            <a:lumOff val="50000"/>
          </a:schemeClr>
        </a:solidFill>
        <a:prstDash val="dash"/>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w="9525" cap="flat" cmpd="sng" algn="ctr">
        <a:solidFill>
          <a:schemeClr val="tx1">
            <a:lumMod val="5000"/>
            <a:lumOff val="95000"/>
          </a:schemeClr>
        </a:solidFill>
        <a:round/>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ajor">
      <a:schemeClr val="tx1">
        <a:lumMod val="65000"/>
        <a:lumOff val="35000"/>
      </a:schemeClr>
    </cs:fontRef>
    <cs:defRPr sz="2000" b="0" kern="1200" cap="none" spc="0" normalizeH="0" baseline="0"/>
  </cs:title>
  <cs:trendline>
    <cs:lnRef idx="0">
      <cs:styleClr val="auto"/>
    </cs:lnRef>
    <cs:fillRef idx="0"/>
    <cs:effectRef idx="0"/>
    <cs:fontRef idx="minor">
      <a:schemeClr val="dk1"/>
    </cs:fontRef>
    <cs:spPr>
      <a:ln w="19050" cap="rnd">
        <a:solidFill>
          <a:schemeClr val="phClr"/>
        </a:solidFill>
        <a:round/>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37.xml><?xml version="1.0" encoding="utf-8"?>
<cs:chartStyle xmlns:cs="http://schemas.microsoft.com/office/drawing/2012/chartStyle" xmlns:a="http://schemas.openxmlformats.org/drawingml/2006/main" id="225">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b="0" kern="1200" cap="none" spc="0" normalizeH="0" baseline="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75000"/>
        <a:lumOff val="25000"/>
      </a:schemeClr>
    </cs:fontRef>
    <cs:spPr>
      <a:solidFill>
        <a:schemeClr val="dk1">
          <a:lumMod val="15000"/>
          <a:lumOff val="85000"/>
        </a:schemeClr>
      </a:solidFill>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3810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8"/>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50000"/>
            <a:lumOff val="50000"/>
          </a:schemeClr>
        </a:solidFill>
        <a:prstDash val="dash"/>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w="9525" cap="flat" cmpd="sng" algn="ctr">
        <a:solidFill>
          <a:schemeClr val="tx1">
            <a:lumMod val="5000"/>
            <a:lumOff val="95000"/>
          </a:schemeClr>
        </a:solidFill>
        <a:round/>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ajor">
      <a:schemeClr val="tx1">
        <a:lumMod val="65000"/>
        <a:lumOff val="35000"/>
      </a:schemeClr>
    </cs:fontRef>
    <cs:defRPr sz="2000" b="0" kern="1200" cap="none" spc="0" normalizeH="0" baseline="0"/>
  </cs:title>
  <cs:trendline>
    <cs:lnRef idx="0">
      <cs:styleClr val="auto"/>
    </cs:lnRef>
    <cs:fillRef idx="0"/>
    <cs:effectRef idx="0"/>
    <cs:fontRef idx="minor">
      <a:schemeClr val="dk1"/>
    </cs:fontRef>
    <cs:spPr>
      <a:ln w="19050" cap="rnd">
        <a:solidFill>
          <a:schemeClr val="phClr"/>
        </a:solidFill>
        <a:round/>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3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_rels/drawing2.xml.rels><?xml version="1.0" encoding="UTF-8" standalone="yes"?>
<Relationships xmlns="http://schemas.openxmlformats.org/package/2006/relationships"><Relationship Id="rId3" Type="http://schemas.openxmlformats.org/officeDocument/2006/relationships/chart" Target="../charts/chart15.xml"/><Relationship Id="rId2" Type="http://schemas.openxmlformats.org/officeDocument/2006/relationships/chart" Target="../charts/chart14.xml"/><Relationship Id="rId1" Type="http://schemas.openxmlformats.org/officeDocument/2006/relationships/chart" Target="../charts/chart13.xml"/></Relationships>
</file>

<file path=xl/drawings/_rels/drawing3.xml.rels><?xml version="1.0" encoding="UTF-8" standalone="yes"?>
<Relationships xmlns="http://schemas.openxmlformats.org/package/2006/relationships"><Relationship Id="rId2" Type="http://schemas.openxmlformats.org/officeDocument/2006/relationships/chart" Target="../charts/chart17.xml"/><Relationship Id="rId1" Type="http://schemas.openxmlformats.org/officeDocument/2006/relationships/chart" Target="../charts/chart16.xml"/></Relationships>
</file>

<file path=xl/drawings/_rels/drawing4.xml.rels><?xml version="1.0" encoding="UTF-8" standalone="yes"?>
<Relationships xmlns="http://schemas.openxmlformats.org/package/2006/relationships"><Relationship Id="rId8" Type="http://schemas.openxmlformats.org/officeDocument/2006/relationships/chart" Target="../charts/chart25.xml"/><Relationship Id="rId3" Type="http://schemas.openxmlformats.org/officeDocument/2006/relationships/chart" Target="../charts/chart20.xml"/><Relationship Id="rId7" Type="http://schemas.openxmlformats.org/officeDocument/2006/relationships/chart" Target="../charts/chart24.xml"/><Relationship Id="rId2" Type="http://schemas.openxmlformats.org/officeDocument/2006/relationships/chart" Target="../charts/chart19.xml"/><Relationship Id="rId1" Type="http://schemas.openxmlformats.org/officeDocument/2006/relationships/chart" Target="../charts/chart18.xml"/><Relationship Id="rId6" Type="http://schemas.openxmlformats.org/officeDocument/2006/relationships/chart" Target="../charts/chart23.xml"/><Relationship Id="rId5" Type="http://schemas.openxmlformats.org/officeDocument/2006/relationships/chart" Target="../charts/chart22.xml"/><Relationship Id="rId4" Type="http://schemas.openxmlformats.org/officeDocument/2006/relationships/chart" Target="../charts/chart21.xml"/></Relationships>
</file>

<file path=xl/drawings/_rels/drawing5.xml.rels><?xml version="1.0" encoding="UTF-8" standalone="yes"?>
<Relationships xmlns="http://schemas.openxmlformats.org/package/2006/relationships"><Relationship Id="rId3" Type="http://schemas.openxmlformats.org/officeDocument/2006/relationships/chart" Target="../charts/chart28.xml"/><Relationship Id="rId7" Type="http://schemas.openxmlformats.org/officeDocument/2006/relationships/chart" Target="../charts/chart32.xml"/><Relationship Id="rId2" Type="http://schemas.openxmlformats.org/officeDocument/2006/relationships/chart" Target="../charts/chart27.xml"/><Relationship Id="rId1" Type="http://schemas.openxmlformats.org/officeDocument/2006/relationships/chart" Target="../charts/chart26.xml"/><Relationship Id="rId6" Type="http://schemas.openxmlformats.org/officeDocument/2006/relationships/chart" Target="../charts/chart31.xml"/><Relationship Id="rId5" Type="http://schemas.openxmlformats.org/officeDocument/2006/relationships/chart" Target="../charts/chart30.xml"/><Relationship Id="rId4" Type="http://schemas.openxmlformats.org/officeDocument/2006/relationships/chart" Target="../charts/chart29.xml"/></Relationships>
</file>

<file path=xl/drawings/_rels/drawing6.xml.rels><?xml version="1.0" encoding="UTF-8" standalone="yes"?>
<Relationships xmlns="http://schemas.openxmlformats.org/package/2006/relationships"><Relationship Id="rId2" Type="http://schemas.openxmlformats.org/officeDocument/2006/relationships/chart" Target="../charts/chart34.xml"/><Relationship Id="rId1" Type="http://schemas.openxmlformats.org/officeDocument/2006/relationships/chart" Target="../charts/chart33.xml"/></Relationships>
</file>

<file path=xl/drawings/_rels/drawing7.xml.rels><?xml version="1.0" encoding="UTF-8" standalone="yes"?>
<Relationships xmlns="http://schemas.openxmlformats.org/package/2006/relationships"><Relationship Id="rId3" Type="http://schemas.openxmlformats.org/officeDocument/2006/relationships/chart" Target="../charts/chart37.xml"/><Relationship Id="rId2" Type="http://schemas.openxmlformats.org/officeDocument/2006/relationships/chart" Target="../charts/chart36.xml"/><Relationship Id="rId1" Type="http://schemas.openxmlformats.org/officeDocument/2006/relationships/chart" Target="../charts/chart35.xml"/></Relationships>
</file>

<file path=xl/drawings/_rels/drawing8.xml.rels><?xml version="1.0" encoding="UTF-8" standalone="yes"?>
<Relationships xmlns="http://schemas.openxmlformats.org/package/2006/relationships"><Relationship Id="rId1" Type="http://schemas.openxmlformats.org/officeDocument/2006/relationships/chart" Target="../charts/chart38.xml"/></Relationships>
</file>

<file path=xl/drawings/drawing1.xml><?xml version="1.0" encoding="utf-8"?>
<xdr:wsDr xmlns:xdr="http://schemas.openxmlformats.org/drawingml/2006/spreadsheetDrawing" xmlns:a="http://schemas.openxmlformats.org/drawingml/2006/main">
  <xdr:twoCellAnchor>
    <xdr:from>
      <xdr:col>0</xdr:col>
      <xdr:colOff>180975</xdr:colOff>
      <xdr:row>24</xdr:row>
      <xdr:rowOff>123825</xdr:rowOff>
    </xdr:from>
    <xdr:to>
      <xdr:col>7</xdr:col>
      <xdr:colOff>0</xdr:colOff>
      <xdr:row>45</xdr:row>
      <xdr:rowOff>47625</xdr:rowOff>
    </xdr:to>
    <xdr:graphicFrame macro="">
      <xdr:nvGraphicFramePr>
        <xdr:cNvPr id="2" name="Chart 1">
          <a:extLst>
            <a:ext uri="{FF2B5EF4-FFF2-40B4-BE49-F238E27FC236}">
              <a16:creationId xmlns:a16="http://schemas.microsoft.com/office/drawing/2014/main" id="{0928EC28-CACB-49BC-8B13-5AAAE6E76B72}"/>
            </a:ext>
            <a:ext uri="{147F2762-F138-4A5C-976F-8EAC2B608ADB}">
              <a16:predDERef xmlns:a16="http://schemas.microsoft.com/office/drawing/2014/main" pred="{795C7B67-5531-AE73-6866-336F5EA24CE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152400</xdr:colOff>
      <xdr:row>46</xdr:row>
      <xdr:rowOff>9525</xdr:rowOff>
    </xdr:from>
    <xdr:to>
      <xdr:col>7</xdr:col>
      <xdr:colOff>0</xdr:colOff>
      <xdr:row>66</xdr:row>
      <xdr:rowOff>123825</xdr:rowOff>
    </xdr:to>
    <xdr:graphicFrame macro="">
      <xdr:nvGraphicFramePr>
        <xdr:cNvPr id="3" name="Chart 2">
          <a:extLst>
            <a:ext uri="{FF2B5EF4-FFF2-40B4-BE49-F238E27FC236}">
              <a16:creationId xmlns:a16="http://schemas.microsoft.com/office/drawing/2014/main" id="{FC11AA36-8433-47E7-B0F8-626E0A036064}"/>
            </a:ext>
            <a:ext uri="{147F2762-F138-4A5C-976F-8EAC2B608ADB}">
              <a16:predDERef xmlns:a16="http://schemas.microsoft.com/office/drawing/2014/main" pred="{850E9406-4DC2-453C-8062-EBC73D5EF8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161925</xdr:colOff>
      <xdr:row>67</xdr:row>
      <xdr:rowOff>123825</xdr:rowOff>
    </xdr:from>
    <xdr:to>
      <xdr:col>7</xdr:col>
      <xdr:colOff>0</xdr:colOff>
      <xdr:row>88</xdr:row>
      <xdr:rowOff>47625</xdr:rowOff>
    </xdr:to>
    <xdr:graphicFrame macro="">
      <xdr:nvGraphicFramePr>
        <xdr:cNvPr id="4" name="Chart 3">
          <a:extLst>
            <a:ext uri="{FF2B5EF4-FFF2-40B4-BE49-F238E27FC236}">
              <a16:creationId xmlns:a16="http://schemas.microsoft.com/office/drawing/2014/main" id="{4D8B5251-7E4C-4A22-84CE-841CDD153EF7}"/>
            </a:ext>
            <a:ext uri="{147F2762-F138-4A5C-976F-8EAC2B608ADB}">
              <a16:predDERef xmlns:a16="http://schemas.microsoft.com/office/drawing/2014/main" pred="{6193E01D-6B93-42A4-B356-34B704C061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152400</xdr:colOff>
      <xdr:row>89</xdr:row>
      <xdr:rowOff>142875</xdr:rowOff>
    </xdr:from>
    <xdr:to>
      <xdr:col>7</xdr:col>
      <xdr:colOff>0</xdr:colOff>
      <xdr:row>110</xdr:row>
      <xdr:rowOff>66675</xdr:rowOff>
    </xdr:to>
    <xdr:graphicFrame macro="">
      <xdr:nvGraphicFramePr>
        <xdr:cNvPr id="5" name="Chart 4">
          <a:extLst>
            <a:ext uri="{FF2B5EF4-FFF2-40B4-BE49-F238E27FC236}">
              <a16:creationId xmlns:a16="http://schemas.microsoft.com/office/drawing/2014/main" id="{22A58847-0BB8-4140-B4A4-D2BF544E4729}"/>
            </a:ext>
            <a:ext uri="{147F2762-F138-4A5C-976F-8EAC2B608ADB}">
              <a16:predDERef xmlns:a16="http://schemas.microsoft.com/office/drawing/2014/main" pred="{07D6D7FC-2D4B-4C8E-95E9-03D87F714E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28575</xdr:colOff>
      <xdr:row>134</xdr:row>
      <xdr:rowOff>57150</xdr:rowOff>
    </xdr:from>
    <xdr:to>
      <xdr:col>6</xdr:col>
      <xdr:colOff>1390650</xdr:colOff>
      <xdr:row>155</xdr:row>
      <xdr:rowOff>9525</xdr:rowOff>
    </xdr:to>
    <xdr:graphicFrame macro="">
      <xdr:nvGraphicFramePr>
        <xdr:cNvPr id="6" name="Chart 5">
          <a:extLst>
            <a:ext uri="{FF2B5EF4-FFF2-40B4-BE49-F238E27FC236}">
              <a16:creationId xmlns:a16="http://schemas.microsoft.com/office/drawing/2014/main" id="{3241717D-BB58-490F-8167-1A4026E46C0F}"/>
            </a:ext>
            <a:ext uri="{147F2762-F138-4A5C-976F-8EAC2B608ADB}">
              <a16:predDERef xmlns:a16="http://schemas.microsoft.com/office/drawing/2014/main" pred="{AA842BC0-756F-4FE7-8A1A-C7E721B36BF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0</xdr:colOff>
      <xdr:row>112</xdr:row>
      <xdr:rowOff>0</xdr:rowOff>
    </xdr:from>
    <xdr:to>
      <xdr:col>7</xdr:col>
      <xdr:colOff>0</xdr:colOff>
      <xdr:row>132</xdr:row>
      <xdr:rowOff>114300</xdr:rowOff>
    </xdr:to>
    <xdr:graphicFrame macro="">
      <xdr:nvGraphicFramePr>
        <xdr:cNvPr id="7" name="Chart 6">
          <a:extLst>
            <a:ext uri="{FF2B5EF4-FFF2-40B4-BE49-F238E27FC236}">
              <a16:creationId xmlns:a16="http://schemas.microsoft.com/office/drawing/2014/main" id="{5634A366-E3FB-4D5F-9094-D5D7CB889229}"/>
            </a:ext>
            <a:ext uri="{147F2762-F138-4A5C-976F-8EAC2B608ADB}">
              <a16:predDERef xmlns:a16="http://schemas.microsoft.com/office/drawing/2014/main" pred="{07D6D7FC-2D4B-4C8E-95E9-03D87F714E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7</xdr:col>
      <xdr:colOff>542925</xdr:colOff>
      <xdr:row>24</xdr:row>
      <xdr:rowOff>85725</xdr:rowOff>
    </xdr:from>
    <xdr:to>
      <xdr:col>17</xdr:col>
      <xdr:colOff>809625</xdr:colOff>
      <xdr:row>45</xdr:row>
      <xdr:rowOff>104775</xdr:rowOff>
    </xdr:to>
    <xdr:graphicFrame macro="">
      <xdr:nvGraphicFramePr>
        <xdr:cNvPr id="8" name="Chart 7">
          <a:extLst>
            <a:ext uri="{FF2B5EF4-FFF2-40B4-BE49-F238E27FC236}">
              <a16:creationId xmlns:a16="http://schemas.microsoft.com/office/drawing/2014/main" id="{09932391-BF85-4910-AB46-F63A36558EC1}"/>
            </a:ext>
            <a:ext uri="{147F2762-F138-4A5C-976F-8EAC2B608ADB}">
              <a16:predDERef xmlns:a16="http://schemas.microsoft.com/office/drawing/2014/main" pred="{795C7B67-5531-AE73-6866-336F5EA24CE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7</xdr:col>
      <xdr:colOff>361950</xdr:colOff>
      <xdr:row>46</xdr:row>
      <xdr:rowOff>85725</xdr:rowOff>
    </xdr:from>
    <xdr:to>
      <xdr:col>17</xdr:col>
      <xdr:colOff>628650</xdr:colOff>
      <xdr:row>67</xdr:row>
      <xdr:rowOff>9525</xdr:rowOff>
    </xdr:to>
    <xdr:graphicFrame macro="">
      <xdr:nvGraphicFramePr>
        <xdr:cNvPr id="9" name="Chart 8">
          <a:extLst>
            <a:ext uri="{FF2B5EF4-FFF2-40B4-BE49-F238E27FC236}">
              <a16:creationId xmlns:a16="http://schemas.microsoft.com/office/drawing/2014/main" id="{D8BCAA74-A350-464A-9E44-DA7D704ED2DA}"/>
            </a:ext>
            <a:ext uri="{147F2762-F138-4A5C-976F-8EAC2B608ADB}">
              <a16:predDERef xmlns:a16="http://schemas.microsoft.com/office/drawing/2014/main" pred="{850E9406-4DC2-453C-8062-EBC73D5EF8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7</xdr:col>
      <xdr:colOff>342900</xdr:colOff>
      <xdr:row>68</xdr:row>
      <xdr:rowOff>114300</xdr:rowOff>
    </xdr:from>
    <xdr:to>
      <xdr:col>17</xdr:col>
      <xdr:colOff>609600</xdr:colOff>
      <xdr:row>89</xdr:row>
      <xdr:rowOff>38100</xdr:rowOff>
    </xdr:to>
    <xdr:graphicFrame macro="">
      <xdr:nvGraphicFramePr>
        <xdr:cNvPr id="10" name="Chart 9">
          <a:extLst>
            <a:ext uri="{FF2B5EF4-FFF2-40B4-BE49-F238E27FC236}">
              <a16:creationId xmlns:a16="http://schemas.microsoft.com/office/drawing/2014/main" id="{DC206F6D-BC74-4DB6-AF25-BDE009CA2C6B}"/>
            </a:ext>
            <a:ext uri="{147F2762-F138-4A5C-976F-8EAC2B608ADB}">
              <a16:predDERef xmlns:a16="http://schemas.microsoft.com/office/drawing/2014/main" pred="{6193E01D-6B93-42A4-B356-34B704C061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xdr:col>
      <xdr:colOff>285750</xdr:colOff>
      <xdr:row>90</xdr:row>
      <xdr:rowOff>9525</xdr:rowOff>
    </xdr:from>
    <xdr:to>
      <xdr:col>17</xdr:col>
      <xdr:colOff>552450</xdr:colOff>
      <xdr:row>110</xdr:row>
      <xdr:rowOff>123825</xdr:rowOff>
    </xdr:to>
    <xdr:graphicFrame macro="">
      <xdr:nvGraphicFramePr>
        <xdr:cNvPr id="11" name="Chart 10">
          <a:extLst>
            <a:ext uri="{FF2B5EF4-FFF2-40B4-BE49-F238E27FC236}">
              <a16:creationId xmlns:a16="http://schemas.microsoft.com/office/drawing/2014/main" id="{FD3C5AFA-3D42-48C0-8327-07A0BB641416}"/>
            </a:ext>
            <a:ext uri="{147F2762-F138-4A5C-976F-8EAC2B608ADB}">
              <a16:predDERef xmlns:a16="http://schemas.microsoft.com/office/drawing/2014/main" pred="{07D6D7FC-2D4B-4C8E-95E9-03D87F714E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7</xdr:col>
      <xdr:colOff>171450</xdr:colOff>
      <xdr:row>112</xdr:row>
      <xdr:rowOff>19050</xdr:rowOff>
    </xdr:from>
    <xdr:to>
      <xdr:col>17</xdr:col>
      <xdr:colOff>438150</xdr:colOff>
      <xdr:row>132</xdr:row>
      <xdr:rowOff>133350</xdr:rowOff>
    </xdr:to>
    <xdr:graphicFrame macro="">
      <xdr:nvGraphicFramePr>
        <xdr:cNvPr id="12" name="Chart 11">
          <a:extLst>
            <a:ext uri="{FF2B5EF4-FFF2-40B4-BE49-F238E27FC236}">
              <a16:creationId xmlns:a16="http://schemas.microsoft.com/office/drawing/2014/main" id="{B066C064-E986-4A52-87A6-51046543C25B}"/>
            </a:ext>
            <a:ext uri="{147F2762-F138-4A5C-976F-8EAC2B608ADB}">
              <a16:predDERef xmlns:a16="http://schemas.microsoft.com/office/drawing/2014/main" pred="{07D6D7FC-2D4B-4C8E-95E9-03D87F714E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7</xdr:col>
      <xdr:colOff>209550</xdr:colOff>
      <xdr:row>134</xdr:row>
      <xdr:rowOff>76200</xdr:rowOff>
    </xdr:from>
    <xdr:to>
      <xdr:col>17</xdr:col>
      <xdr:colOff>476250</xdr:colOff>
      <xdr:row>155</xdr:row>
      <xdr:rowOff>0</xdr:rowOff>
    </xdr:to>
    <xdr:graphicFrame macro="">
      <xdr:nvGraphicFramePr>
        <xdr:cNvPr id="13" name="Chart 12">
          <a:extLst>
            <a:ext uri="{FF2B5EF4-FFF2-40B4-BE49-F238E27FC236}">
              <a16:creationId xmlns:a16="http://schemas.microsoft.com/office/drawing/2014/main" id="{8C65196A-E93A-40F6-8580-223B55485173}"/>
            </a:ext>
            <a:ext uri="{147F2762-F138-4A5C-976F-8EAC2B608ADB}">
              <a16:predDERef xmlns:a16="http://schemas.microsoft.com/office/drawing/2014/main" pred="{07D6D7FC-2D4B-4C8E-95E9-03D87F714E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16</xdr:col>
      <xdr:colOff>809625</xdr:colOff>
      <xdr:row>28</xdr:row>
      <xdr:rowOff>133350</xdr:rowOff>
    </xdr:from>
    <xdr:to>
      <xdr:col>16</xdr:col>
      <xdr:colOff>809625</xdr:colOff>
      <xdr:row>31</xdr:row>
      <xdr:rowOff>66675</xdr:rowOff>
    </xdr:to>
    <xdr:cxnSp macro="">
      <xdr:nvCxnSpPr>
        <xdr:cNvPr id="14" name="Straight Connector 13">
          <a:extLst>
            <a:ext uri="{FF2B5EF4-FFF2-40B4-BE49-F238E27FC236}">
              <a16:creationId xmlns:a16="http://schemas.microsoft.com/office/drawing/2014/main" id="{6C999126-AD23-43B6-87F1-2B5A56AFA267}"/>
            </a:ext>
          </a:extLst>
        </xdr:cNvPr>
        <xdr:cNvCxnSpPr/>
      </xdr:nvCxnSpPr>
      <xdr:spPr>
        <a:xfrm>
          <a:off x="18097500" y="5848350"/>
          <a:ext cx="0" cy="504825"/>
        </a:xfrm>
        <a:prstGeom prst="line">
          <a:avLst/>
        </a:prstGeom>
        <a:ln w="12700">
          <a:solidFill>
            <a:schemeClr val="tx1"/>
          </a:solidFill>
          <a:headEnd type="diamond"/>
          <a:tailEnd type="diamon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666750</xdr:colOff>
      <xdr:row>28</xdr:row>
      <xdr:rowOff>85725</xdr:rowOff>
    </xdr:from>
    <xdr:to>
      <xdr:col>14</xdr:col>
      <xdr:colOff>666750</xdr:colOff>
      <xdr:row>31</xdr:row>
      <xdr:rowOff>19050</xdr:rowOff>
    </xdr:to>
    <xdr:cxnSp macro="">
      <xdr:nvCxnSpPr>
        <xdr:cNvPr id="15" name="Straight Connector 14">
          <a:extLst>
            <a:ext uri="{FF2B5EF4-FFF2-40B4-BE49-F238E27FC236}">
              <a16:creationId xmlns:a16="http://schemas.microsoft.com/office/drawing/2014/main" id="{C8FD0153-5159-46B1-A632-909AAE15168E}"/>
            </a:ext>
          </a:extLst>
        </xdr:cNvPr>
        <xdr:cNvCxnSpPr/>
      </xdr:nvCxnSpPr>
      <xdr:spPr>
        <a:xfrm>
          <a:off x="15935325" y="5800725"/>
          <a:ext cx="0" cy="504825"/>
        </a:xfrm>
        <a:prstGeom prst="line">
          <a:avLst/>
        </a:prstGeom>
        <a:ln w="12700">
          <a:solidFill>
            <a:schemeClr val="tx1"/>
          </a:solidFill>
          <a:headEnd type="diamond"/>
          <a:tailEnd type="diamon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942975</xdr:colOff>
      <xdr:row>28</xdr:row>
      <xdr:rowOff>38100</xdr:rowOff>
    </xdr:from>
    <xdr:to>
      <xdr:col>11</xdr:col>
      <xdr:colOff>942975</xdr:colOff>
      <xdr:row>30</xdr:row>
      <xdr:rowOff>161925</xdr:rowOff>
    </xdr:to>
    <xdr:cxnSp macro="">
      <xdr:nvCxnSpPr>
        <xdr:cNvPr id="16" name="Straight Connector 15">
          <a:extLst>
            <a:ext uri="{FF2B5EF4-FFF2-40B4-BE49-F238E27FC236}">
              <a16:creationId xmlns:a16="http://schemas.microsoft.com/office/drawing/2014/main" id="{E79C19ED-87C3-4628-BD29-AD991F7D80F7}"/>
            </a:ext>
          </a:extLst>
        </xdr:cNvPr>
        <xdr:cNvCxnSpPr/>
      </xdr:nvCxnSpPr>
      <xdr:spPr>
        <a:xfrm>
          <a:off x="13763625" y="5753100"/>
          <a:ext cx="0" cy="504825"/>
        </a:xfrm>
        <a:prstGeom prst="line">
          <a:avLst/>
        </a:prstGeom>
        <a:ln w="12700">
          <a:solidFill>
            <a:schemeClr val="tx1"/>
          </a:solidFill>
          <a:headEnd type="diamond"/>
          <a:tailEnd type="diamon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904875</xdr:colOff>
      <xdr:row>30</xdr:row>
      <xdr:rowOff>28575</xdr:rowOff>
    </xdr:from>
    <xdr:to>
      <xdr:col>9</xdr:col>
      <xdr:colOff>904875</xdr:colOff>
      <xdr:row>33</xdr:row>
      <xdr:rowOff>0</xdr:rowOff>
    </xdr:to>
    <xdr:cxnSp macro="">
      <xdr:nvCxnSpPr>
        <xdr:cNvPr id="17" name="Straight Connector 16">
          <a:extLst>
            <a:ext uri="{FF2B5EF4-FFF2-40B4-BE49-F238E27FC236}">
              <a16:creationId xmlns:a16="http://schemas.microsoft.com/office/drawing/2014/main" id="{4BA46ACC-F323-490D-AA69-6D1E66C65F3B}"/>
            </a:ext>
          </a:extLst>
        </xdr:cNvPr>
        <xdr:cNvCxnSpPr/>
      </xdr:nvCxnSpPr>
      <xdr:spPr>
        <a:xfrm>
          <a:off x="11553825" y="6124575"/>
          <a:ext cx="0" cy="542925"/>
        </a:xfrm>
        <a:prstGeom prst="line">
          <a:avLst/>
        </a:prstGeom>
        <a:ln w="12700">
          <a:solidFill>
            <a:schemeClr val="tx1"/>
          </a:solidFill>
          <a:headEnd type="diamond"/>
          <a:tailEnd type="diamon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504824</xdr:colOff>
      <xdr:row>41</xdr:row>
      <xdr:rowOff>171449</xdr:rowOff>
    </xdr:from>
    <xdr:to>
      <xdr:col>17</xdr:col>
      <xdr:colOff>609600</xdr:colOff>
      <xdr:row>45</xdr:row>
      <xdr:rowOff>66675</xdr:rowOff>
    </xdr:to>
    <xdr:sp macro="" textlink="">
      <xdr:nvSpPr>
        <xdr:cNvPr id="18" name="TextBox 17">
          <a:extLst>
            <a:ext uri="{FF2B5EF4-FFF2-40B4-BE49-F238E27FC236}">
              <a16:creationId xmlns:a16="http://schemas.microsoft.com/office/drawing/2014/main" id="{CDCD8D28-0520-486D-B2D9-C74ADA358F46}"/>
            </a:ext>
          </a:extLst>
        </xdr:cNvPr>
        <xdr:cNvSpPr txBox="1"/>
      </xdr:nvSpPr>
      <xdr:spPr>
        <a:xfrm>
          <a:off x="16887824" y="8362949"/>
          <a:ext cx="1933576" cy="65722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600">
              <a:solidFill>
                <a:schemeClr val="bg2">
                  <a:lumMod val="50000"/>
                </a:schemeClr>
              </a:solidFill>
              <a:latin typeface="Aptos" panose="020B0004020202020204" pitchFamily="34" charset="0"/>
            </a:rPr>
            <a:t>Ascend P5-P95 Spread</a:t>
          </a:r>
        </a:p>
      </xdr:txBody>
    </xdr:sp>
    <xdr:clientData/>
  </xdr:twoCellAnchor>
  <xdr:twoCellAnchor>
    <xdr:from>
      <xdr:col>15</xdr:col>
      <xdr:colOff>390525</xdr:colOff>
      <xdr:row>42</xdr:row>
      <xdr:rowOff>171450</xdr:rowOff>
    </xdr:from>
    <xdr:to>
      <xdr:col>15</xdr:col>
      <xdr:colOff>390525</xdr:colOff>
      <xdr:row>44</xdr:row>
      <xdr:rowOff>38100</xdr:rowOff>
    </xdr:to>
    <xdr:cxnSp macro="">
      <xdr:nvCxnSpPr>
        <xdr:cNvPr id="19" name="Straight Connector 18">
          <a:extLst>
            <a:ext uri="{FF2B5EF4-FFF2-40B4-BE49-F238E27FC236}">
              <a16:creationId xmlns:a16="http://schemas.microsoft.com/office/drawing/2014/main" id="{9D5ED4B5-F3CD-4C4B-98DC-F5CF9C2DA581}"/>
            </a:ext>
          </a:extLst>
        </xdr:cNvPr>
        <xdr:cNvCxnSpPr/>
      </xdr:nvCxnSpPr>
      <xdr:spPr>
        <a:xfrm>
          <a:off x="16773525" y="8553450"/>
          <a:ext cx="0" cy="247650"/>
        </a:xfrm>
        <a:prstGeom prst="line">
          <a:avLst/>
        </a:prstGeom>
        <a:ln w="12700">
          <a:solidFill>
            <a:schemeClr val="tx1"/>
          </a:solidFill>
          <a:headEnd type="diamond"/>
          <a:tailEnd type="diamond"/>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910590</xdr:colOff>
      <xdr:row>2</xdr:row>
      <xdr:rowOff>179071</xdr:rowOff>
    </xdr:from>
    <xdr:to>
      <xdr:col>7</xdr:col>
      <xdr:colOff>215265</xdr:colOff>
      <xdr:row>6</xdr:row>
      <xdr:rowOff>150495</xdr:rowOff>
    </xdr:to>
    <xdr:sp macro="" textlink="">
      <xdr:nvSpPr>
        <xdr:cNvPr id="11" name="TextBox 10">
          <a:extLst>
            <a:ext uri="{FF2B5EF4-FFF2-40B4-BE49-F238E27FC236}">
              <a16:creationId xmlns:a16="http://schemas.microsoft.com/office/drawing/2014/main" id="{1E70767E-F74F-4D7C-BD13-8E86310D4DAD}"/>
            </a:ext>
          </a:extLst>
        </xdr:cNvPr>
        <xdr:cNvSpPr txBox="1"/>
      </xdr:nvSpPr>
      <xdr:spPr>
        <a:xfrm>
          <a:off x="910590" y="541021"/>
          <a:ext cx="6457950" cy="69532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i="0" u="none" strike="noStrike">
              <a:solidFill>
                <a:schemeClr val="dk1"/>
              </a:solidFill>
              <a:effectLst/>
              <a:latin typeface="+mn-lt"/>
              <a:ea typeface="+mn-ea"/>
              <a:cs typeface="+mn-cs"/>
            </a:rPr>
            <a:t>DISCLAIMER:</a:t>
          </a:r>
          <a:r>
            <a:rPr lang="en-US"/>
            <a:t>  </a:t>
          </a:r>
          <a:r>
            <a:rPr lang="en-US" sz="1100" b="0" i="1" u="none" strike="noStrike">
              <a:solidFill>
                <a:schemeClr val="dk1"/>
              </a:solidFill>
              <a:effectLst/>
              <a:latin typeface="+mn-lt"/>
              <a:ea typeface="+mn-ea"/>
              <a:cs typeface="+mn-cs"/>
            </a:rPr>
            <a:t>** These are representative results based on modeling for the 2035 Resource Generation Plan and are not projections of AE's future prices. The results are not inclusive of factors beyond the scope of this Resource Generation Plan modeling.</a:t>
          </a:r>
          <a:r>
            <a:rPr lang="en-US"/>
            <a:t> </a:t>
          </a:r>
          <a:endParaRPr lang="en-US" sz="1100"/>
        </a:p>
      </xdr:txBody>
    </xdr:sp>
    <xdr:clientData/>
  </xdr:twoCellAnchor>
  <xdr:twoCellAnchor>
    <xdr:from>
      <xdr:col>17</xdr:col>
      <xdr:colOff>276226</xdr:colOff>
      <xdr:row>52</xdr:row>
      <xdr:rowOff>232409</xdr:rowOff>
    </xdr:from>
    <xdr:to>
      <xdr:col>30</xdr:col>
      <xdr:colOff>302420</xdr:colOff>
      <xdr:row>69</xdr:row>
      <xdr:rowOff>171450</xdr:rowOff>
    </xdr:to>
    <xdr:graphicFrame macro="">
      <xdr:nvGraphicFramePr>
        <xdr:cNvPr id="13" name="Chart 12">
          <a:extLst>
            <a:ext uri="{FF2B5EF4-FFF2-40B4-BE49-F238E27FC236}">
              <a16:creationId xmlns:a16="http://schemas.microsoft.com/office/drawing/2014/main" id="{B98B2797-B169-46EE-8EF7-0DE5FFDEF745}"/>
            </a:ext>
            <a:ext uri="{147F2762-F138-4A5C-976F-8EAC2B608ADB}">
              <a16:predDERef xmlns:a16="http://schemas.microsoft.com/office/drawing/2014/main" pred="{87EB0B38-EC67-A4D9-7870-69833426DCC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47625</xdr:colOff>
      <xdr:row>30</xdr:row>
      <xdr:rowOff>71438</xdr:rowOff>
    </xdr:from>
    <xdr:to>
      <xdr:col>12</xdr:col>
      <xdr:colOff>333374</xdr:colOff>
      <xdr:row>49</xdr:row>
      <xdr:rowOff>130969</xdr:rowOff>
    </xdr:to>
    <xdr:graphicFrame macro="">
      <xdr:nvGraphicFramePr>
        <xdr:cNvPr id="2" name="Chart 1">
          <a:extLst>
            <a:ext uri="{FF2B5EF4-FFF2-40B4-BE49-F238E27FC236}">
              <a16:creationId xmlns:a16="http://schemas.microsoft.com/office/drawing/2014/main" id="{E1A0D26F-535C-4420-B687-C1CC9D54EBB5}"/>
            </a:ext>
            <a:ext uri="{147F2762-F138-4A5C-976F-8EAC2B608ADB}">
              <a16:predDERef xmlns:a16="http://schemas.microsoft.com/office/drawing/2014/main" pred="{6A9E8AEA-2981-A251-EFD3-87874006736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xdr:col>
      <xdr:colOff>892969</xdr:colOff>
      <xdr:row>52</xdr:row>
      <xdr:rowOff>273844</xdr:rowOff>
    </xdr:from>
    <xdr:to>
      <xdr:col>16</xdr:col>
      <xdr:colOff>478631</xdr:colOff>
      <xdr:row>70</xdr:row>
      <xdr:rowOff>22385</xdr:rowOff>
    </xdr:to>
    <xdr:graphicFrame macro="">
      <xdr:nvGraphicFramePr>
        <xdr:cNvPr id="3" name="Chart 2">
          <a:extLst>
            <a:ext uri="{FF2B5EF4-FFF2-40B4-BE49-F238E27FC236}">
              <a16:creationId xmlns:a16="http://schemas.microsoft.com/office/drawing/2014/main" id="{1CD15F4D-D19B-4410-9BE1-484930B4196C}"/>
            </a:ext>
            <a:ext uri="{147F2762-F138-4A5C-976F-8EAC2B608ADB}">
              <a16:predDERef xmlns:a16="http://schemas.microsoft.com/office/drawing/2014/main" pred="{87EB0B38-EC67-A4D9-7870-69833426DCC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7</xdr:col>
      <xdr:colOff>104775</xdr:colOff>
      <xdr:row>1</xdr:row>
      <xdr:rowOff>133350</xdr:rowOff>
    </xdr:from>
    <xdr:to>
      <xdr:col>18</xdr:col>
      <xdr:colOff>428625</xdr:colOff>
      <xdr:row>16</xdr:row>
      <xdr:rowOff>19049</xdr:rowOff>
    </xdr:to>
    <xdr:graphicFrame macro="">
      <xdr:nvGraphicFramePr>
        <xdr:cNvPr id="3" name="Chart 2">
          <a:extLst>
            <a:ext uri="{FF2B5EF4-FFF2-40B4-BE49-F238E27FC236}">
              <a16:creationId xmlns:a16="http://schemas.microsoft.com/office/drawing/2014/main" id="{46D56888-7EBF-4D2D-B28F-E8072B4AE9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104775</xdr:colOff>
      <xdr:row>17</xdr:row>
      <xdr:rowOff>57150</xdr:rowOff>
    </xdr:from>
    <xdr:to>
      <xdr:col>18</xdr:col>
      <xdr:colOff>390525</xdr:colOff>
      <xdr:row>35</xdr:row>
      <xdr:rowOff>37148</xdr:rowOff>
    </xdr:to>
    <xdr:graphicFrame macro="">
      <xdr:nvGraphicFramePr>
        <xdr:cNvPr id="4" name="Chart 3">
          <a:extLst>
            <a:ext uri="{FF2B5EF4-FFF2-40B4-BE49-F238E27FC236}">
              <a16:creationId xmlns:a16="http://schemas.microsoft.com/office/drawing/2014/main" id="{1BC34C22-A4AF-4C46-84B1-0B48C0BCDB7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17144</xdr:colOff>
      <xdr:row>32</xdr:row>
      <xdr:rowOff>123825</xdr:rowOff>
    </xdr:from>
    <xdr:to>
      <xdr:col>10</xdr:col>
      <xdr:colOff>485775</xdr:colOff>
      <xdr:row>42</xdr:row>
      <xdr:rowOff>123825</xdr:rowOff>
    </xdr:to>
    <xdr:sp macro="" textlink="">
      <xdr:nvSpPr>
        <xdr:cNvPr id="2" name="TextBox 1">
          <a:extLst>
            <a:ext uri="{FF2B5EF4-FFF2-40B4-BE49-F238E27FC236}">
              <a16:creationId xmlns:a16="http://schemas.microsoft.com/office/drawing/2014/main" id="{D1A237CC-D9BE-48B6-88B2-8F746795BCB5}"/>
            </a:ext>
          </a:extLst>
        </xdr:cNvPr>
        <xdr:cNvSpPr txBox="1"/>
      </xdr:nvSpPr>
      <xdr:spPr>
        <a:xfrm>
          <a:off x="626744" y="6410325"/>
          <a:ext cx="7955281" cy="1905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fontAlgn="base"/>
          <a:r>
            <a:rPr lang="en-US" sz="1400" b="0" i="0" u="none" strike="noStrike">
              <a:solidFill>
                <a:schemeClr val="dk1"/>
              </a:solidFill>
              <a:effectLst/>
              <a:latin typeface="Aptos" panose="020B0004020202020204" pitchFamily="34" charset="0"/>
              <a:ea typeface="+mn-ea"/>
              <a:cs typeface="+mn-cs"/>
            </a:rPr>
            <a:t>“Reliability Risk Hours” = total number of hours in a given year that the model predicts there will be increased risk of local outages</a:t>
          </a:r>
          <a:r>
            <a:rPr lang="en-US" sz="1400" b="0" i="0">
              <a:solidFill>
                <a:schemeClr val="dk1"/>
              </a:solidFill>
              <a:effectLst/>
              <a:latin typeface="Aptos" panose="020B0004020202020204" pitchFamily="34" charset="0"/>
              <a:ea typeface="+mn-ea"/>
              <a:cs typeface="+mn-cs"/>
            </a:rPr>
            <a:t>​</a:t>
          </a:r>
        </a:p>
        <a:p>
          <a:pPr rtl="0" fontAlgn="base"/>
          <a:r>
            <a:rPr lang="en-US" sz="1400" b="0" i="0">
              <a:solidFill>
                <a:schemeClr val="dk1"/>
              </a:solidFill>
              <a:effectLst/>
              <a:latin typeface="Aptos" panose="020B0004020202020204" pitchFamily="34" charset="0"/>
              <a:ea typeface="+mn-ea"/>
              <a:cs typeface="+mn-cs"/>
            </a:rPr>
            <a:t>​</a:t>
          </a:r>
        </a:p>
        <a:p>
          <a:pPr rtl="0" fontAlgn="base"/>
          <a:r>
            <a:rPr lang="en-US" sz="1400" b="0" i="0" u="none" strike="noStrike">
              <a:solidFill>
                <a:schemeClr val="dk1"/>
              </a:solidFill>
              <a:effectLst/>
              <a:latin typeface="Aptos" panose="020B0004020202020204" pitchFamily="34" charset="0"/>
              <a:ea typeface="+mn-ea"/>
              <a:cs typeface="+mn-cs"/>
            </a:rPr>
            <a:t>Local outages in this case are a result of not enough electricity physically available to meet Austin’s load</a:t>
          </a:r>
          <a:r>
            <a:rPr lang="en-US" sz="1400" b="0" i="0">
              <a:solidFill>
                <a:schemeClr val="dk1"/>
              </a:solidFill>
              <a:effectLst/>
              <a:latin typeface="Aptos" panose="020B0004020202020204" pitchFamily="34" charset="0"/>
              <a:ea typeface="+mn-ea"/>
              <a:cs typeface="+mn-cs"/>
            </a:rPr>
            <a:t>​</a:t>
          </a:r>
        </a:p>
        <a:p>
          <a:pPr rtl="0" fontAlgn="base"/>
          <a:r>
            <a:rPr lang="en-US" sz="1400" b="0" i="0">
              <a:solidFill>
                <a:schemeClr val="dk1"/>
              </a:solidFill>
              <a:effectLst/>
              <a:latin typeface="Aptos" panose="020B0004020202020204" pitchFamily="34" charset="0"/>
              <a:ea typeface="+mn-ea"/>
              <a:cs typeface="+mn-cs"/>
            </a:rPr>
            <a:t>​</a:t>
          </a:r>
        </a:p>
        <a:p>
          <a:pPr rtl="0" fontAlgn="base"/>
          <a:r>
            <a:rPr lang="en-US" sz="1400" b="0" i="0" u="none" strike="noStrike">
              <a:solidFill>
                <a:schemeClr val="dk1"/>
              </a:solidFill>
              <a:effectLst/>
              <a:latin typeface="Aptos" panose="020B0004020202020204" pitchFamily="34" charset="0"/>
              <a:ea typeface="+mn-ea"/>
              <a:cs typeface="+mn-cs"/>
            </a:rPr>
            <a:t>Can be caused by high local load, decrease in local power generation, decrease in import capacity, or a combination of these factors</a:t>
          </a:r>
          <a:r>
            <a:rPr lang="en-US" sz="1400" b="0" i="0">
              <a:solidFill>
                <a:schemeClr val="dk1"/>
              </a:solidFill>
              <a:effectLst/>
              <a:latin typeface="Aptos" panose="020B0004020202020204" pitchFamily="34" charset="0"/>
              <a:ea typeface="+mn-ea"/>
              <a:cs typeface="+mn-cs"/>
            </a:rPr>
            <a:t>​</a:t>
          </a:r>
        </a:p>
        <a:p>
          <a:endParaRPr lang="en-US" sz="1100"/>
        </a:p>
      </xdr:txBody>
    </xdr:sp>
    <xdr:clientData/>
  </xdr:twoCellAnchor>
  <xdr:twoCellAnchor>
    <xdr:from>
      <xdr:col>1</xdr:col>
      <xdr:colOff>304800</xdr:colOff>
      <xdr:row>102</xdr:row>
      <xdr:rowOff>80961</xdr:rowOff>
    </xdr:from>
    <xdr:to>
      <xdr:col>13</xdr:col>
      <xdr:colOff>209549</xdr:colOff>
      <xdr:row>124</xdr:row>
      <xdr:rowOff>180974</xdr:rowOff>
    </xdr:to>
    <xdr:graphicFrame macro="">
      <xdr:nvGraphicFramePr>
        <xdr:cNvPr id="3" name="Chart 2">
          <a:extLst>
            <a:ext uri="{FF2B5EF4-FFF2-40B4-BE49-F238E27FC236}">
              <a16:creationId xmlns:a16="http://schemas.microsoft.com/office/drawing/2014/main" id="{B7DC5416-0770-4F07-AEE7-42472E9FA9D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295275</xdr:colOff>
      <xdr:row>83</xdr:row>
      <xdr:rowOff>80960</xdr:rowOff>
    </xdr:from>
    <xdr:to>
      <xdr:col>13</xdr:col>
      <xdr:colOff>200025</xdr:colOff>
      <xdr:row>101</xdr:row>
      <xdr:rowOff>133349</xdr:rowOff>
    </xdr:to>
    <xdr:graphicFrame macro="">
      <xdr:nvGraphicFramePr>
        <xdr:cNvPr id="11" name="Chart 10">
          <a:extLst>
            <a:ext uri="{FF2B5EF4-FFF2-40B4-BE49-F238E27FC236}">
              <a16:creationId xmlns:a16="http://schemas.microsoft.com/office/drawing/2014/main" id="{C4D7ACDF-1404-4964-9863-82626BCD5F8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295274</xdr:colOff>
      <xdr:row>65</xdr:row>
      <xdr:rowOff>28574</xdr:rowOff>
    </xdr:from>
    <xdr:to>
      <xdr:col>13</xdr:col>
      <xdr:colOff>200024</xdr:colOff>
      <xdr:row>82</xdr:row>
      <xdr:rowOff>171449</xdr:rowOff>
    </xdr:to>
    <xdr:graphicFrame macro="">
      <xdr:nvGraphicFramePr>
        <xdr:cNvPr id="4" name="Chart 3">
          <a:extLst>
            <a:ext uri="{FF2B5EF4-FFF2-40B4-BE49-F238E27FC236}">
              <a16:creationId xmlns:a16="http://schemas.microsoft.com/office/drawing/2014/main" id="{485901CC-9121-474C-8240-CCBEB61280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276224</xdr:colOff>
      <xdr:row>126</xdr:row>
      <xdr:rowOff>28575</xdr:rowOff>
    </xdr:from>
    <xdr:to>
      <xdr:col>7</xdr:col>
      <xdr:colOff>581024</xdr:colOff>
      <xdr:row>140</xdr:row>
      <xdr:rowOff>104775</xdr:rowOff>
    </xdr:to>
    <xdr:graphicFrame macro="">
      <xdr:nvGraphicFramePr>
        <xdr:cNvPr id="6" name="Chart 5">
          <a:extLst>
            <a:ext uri="{FF2B5EF4-FFF2-40B4-BE49-F238E27FC236}">
              <a16:creationId xmlns:a16="http://schemas.microsoft.com/office/drawing/2014/main" id="{9966B8F5-E5CD-4E87-A1AE-0AD2B6386D5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142875</xdr:colOff>
      <xdr:row>142</xdr:row>
      <xdr:rowOff>171450</xdr:rowOff>
    </xdr:from>
    <xdr:to>
      <xdr:col>10</xdr:col>
      <xdr:colOff>685800</xdr:colOff>
      <xdr:row>159</xdr:row>
      <xdr:rowOff>109537</xdr:rowOff>
    </xdr:to>
    <xdr:graphicFrame macro="">
      <xdr:nvGraphicFramePr>
        <xdr:cNvPr id="14" name="Chart 13">
          <a:extLst>
            <a:ext uri="{FF2B5EF4-FFF2-40B4-BE49-F238E27FC236}">
              <a16:creationId xmlns:a16="http://schemas.microsoft.com/office/drawing/2014/main" id="{A27B5AA1-EA6C-4447-B1F8-B5BB6DBA9D2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123825</xdr:colOff>
      <xdr:row>160</xdr:row>
      <xdr:rowOff>85725</xdr:rowOff>
    </xdr:from>
    <xdr:to>
      <xdr:col>10</xdr:col>
      <xdr:colOff>666750</xdr:colOff>
      <xdr:row>177</xdr:row>
      <xdr:rowOff>23812</xdr:rowOff>
    </xdr:to>
    <xdr:graphicFrame macro="">
      <xdr:nvGraphicFramePr>
        <xdr:cNvPr id="15" name="Chart 14">
          <a:extLst>
            <a:ext uri="{FF2B5EF4-FFF2-40B4-BE49-F238E27FC236}">
              <a16:creationId xmlns:a16="http://schemas.microsoft.com/office/drawing/2014/main" id="{E6F6C86F-AA23-4834-9DB8-C8C23BC64B1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114300</xdr:colOff>
      <xdr:row>178</xdr:row>
      <xdr:rowOff>0</xdr:rowOff>
    </xdr:from>
    <xdr:to>
      <xdr:col>10</xdr:col>
      <xdr:colOff>657225</xdr:colOff>
      <xdr:row>194</xdr:row>
      <xdr:rowOff>128587</xdr:rowOff>
    </xdr:to>
    <xdr:graphicFrame macro="">
      <xdr:nvGraphicFramePr>
        <xdr:cNvPr id="16" name="Chart 15">
          <a:extLst>
            <a:ext uri="{FF2B5EF4-FFF2-40B4-BE49-F238E27FC236}">
              <a16:creationId xmlns:a16="http://schemas.microsoft.com/office/drawing/2014/main" id="{B174E097-325D-45B6-ABCE-0D86FAD82B4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104775</xdr:colOff>
      <xdr:row>195</xdr:row>
      <xdr:rowOff>142875</xdr:rowOff>
    </xdr:from>
    <xdr:to>
      <xdr:col>10</xdr:col>
      <xdr:colOff>647700</xdr:colOff>
      <xdr:row>212</xdr:row>
      <xdr:rowOff>80962</xdr:rowOff>
    </xdr:to>
    <xdr:graphicFrame macro="">
      <xdr:nvGraphicFramePr>
        <xdr:cNvPr id="17" name="Chart 16">
          <a:extLst>
            <a:ext uri="{FF2B5EF4-FFF2-40B4-BE49-F238E27FC236}">
              <a16:creationId xmlns:a16="http://schemas.microsoft.com/office/drawing/2014/main" id="{66C842BE-90CD-454B-B828-5F83B507C34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6</xdr:col>
      <xdr:colOff>123825</xdr:colOff>
      <xdr:row>38</xdr:row>
      <xdr:rowOff>38100</xdr:rowOff>
    </xdr:from>
    <xdr:to>
      <xdr:col>16</xdr:col>
      <xdr:colOff>90488</xdr:colOff>
      <xdr:row>56</xdr:row>
      <xdr:rowOff>52387</xdr:rowOff>
    </xdr:to>
    <xdr:graphicFrame macro="">
      <xdr:nvGraphicFramePr>
        <xdr:cNvPr id="2" name="Chart 1">
          <a:extLst>
            <a:ext uri="{FF2B5EF4-FFF2-40B4-BE49-F238E27FC236}">
              <a16:creationId xmlns:a16="http://schemas.microsoft.com/office/drawing/2014/main" id="{13C684B2-2CA4-43FE-AC51-36CD34F1DFD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561974</xdr:colOff>
      <xdr:row>11</xdr:row>
      <xdr:rowOff>185736</xdr:rowOff>
    </xdr:from>
    <xdr:to>
      <xdr:col>20</xdr:col>
      <xdr:colOff>9524</xdr:colOff>
      <xdr:row>35</xdr:row>
      <xdr:rowOff>19049</xdr:rowOff>
    </xdr:to>
    <xdr:graphicFrame macro="">
      <xdr:nvGraphicFramePr>
        <xdr:cNvPr id="3" name="Chart 2">
          <a:extLst>
            <a:ext uri="{FF2B5EF4-FFF2-40B4-BE49-F238E27FC236}">
              <a16:creationId xmlns:a16="http://schemas.microsoft.com/office/drawing/2014/main" id="{B8FC8EFC-FF95-417E-A56A-BA172A910F2C}"/>
            </a:ext>
            <a:ext uri="{147F2762-F138-4A5C-976F-8EAC2B608ADB}">
              <a16:predDERef xmlns:a16="http://schemas.microsoft.com/office/drawing/2014/main" pred="{734A80B2-E25B-4A89-AC1E-78FA23B6E4D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600075</xdr:colOff>
      <xdr:row>69</xdr:row>
      <xdr:rowOff>28575</xdr:rowOff>
    </xdr:from>
    <xdr:to>
      <xdr:col>15</xdr:col>
      <xdr:colOff>566738</xdr:colOff>
      <xdr:row>87</xdr:row>
      <xdr:rowOff>42862</xdr:rowOff>
    </xdr:to>
    <xdr:graphicFrame macro="">
      <xdr:nvGraphicFramePr>
        <xdr:cNvPr id="4" name="Chart 3">
          <a:extLst>
            <a:ext uri="{FF2B5EF4-FFF2-40B4-BE49-F238E27FC236}">
              <a16:creationId xmlns:a16="http://schemas.microsoft.com/office/drawing/2014/main" id="{0F0D7CA2-644D-4A4B-A845-D306AD6F849E}"/>
            </a:ext>
            <a:ext uri="{147F2762-F138-4A5C-976F-8EAC2B608ADB}">
              <a16:predDERef xmlns:a16="http://schemas.microsoft.com/office/drawing/2014/main" pred="{78A0A785-FDD1-9B0B-2215-B9FF5AB2AC3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5</xdr:col>
      <xdr:colOff>571500</xdr:colOff>
      <xdr:row>98</xdr:row>
      <xdr:rowOff>28575</xdr:rowOff>
    </xdr:from>
    <xdr:to>
      <xdr:col>15</xdr:col>
      <xdr:colOff>538163</xdr:colOff>
      <xdr:row>116</xdr:row>
      <xdr:rowOff>42862</xdr:rowOff>
    </xdr:to>
    <xdr:graphicFrame macro="">
      <xdr:nvGraphicFramePr>
        <xdr:cNvPr id="5" name="Chart 4">
          <a:extLst>
            <a:ext uri="{FF2B5EF4-FFF2-40B4-BE49-F238E27FC236}">
              <a16:creationId xmlns:a16="http://schemas.microsoft.com/office/drawing/2014/main" id="{EAF3E6ED-5389-4E0C-A567-62182848C44C}"/>
            </a:ext>
            <a:ext uri="{147F2762-F138-4A5C-976F-8EAC2B608ADB}">
              <a16:predDERef xmlns:a16="http://schemas.microsoft.com/office/drawing/2014/main" pred="{D8408EF2-4C84-487D-84C4-9CD87FFB10F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5</xdr:col>
      <xdr:colOff>571500</xdr:colOff>
      <xdr:row>128</xdr:row>
      <xdr:rowOff>57151</xdr:rowOff>
    </xdr:from>
    <xdr:to>
      <xdr:col>15</xdr:col>
      <xdr:colOff>538163</xdr:colOff>
      <xdr:row>145</xdr:row>
      <xdr:rowOff>152401</xdr:rowOff>
    </xdr:to>
    <xdr:graphicFrame macro="">
      <xdr:nvGraphicFramePr>
        <xdr:cNvPr id="8" name="Chart 7">
          <a:extLst>
            <a:ext uri="{FF2B5EF4-FFF2-40B4-BE49-F238E27FC236}">
              <a16:creationId xmlns:a16="http://schemas.microsoft.com/office/drawing/2014/main" id="{A42C653F-83B2-4706-B8BA-46EEC1EBA237}"/>
            </a:ext>
            <a:ext uri="{147F2762-F138-4A5C-976F-8EAC2B608ADB}">
              <a16:predDERef xmlns:a16="http://schemas.microsoft.com/office/drawing/2014/main" pred="{5CCED6F0-ACE9-5258-3120-4E4C83A8F8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17</xdr:col>
      <xdr:colOff>0</xdr:colOff>
      <xdr:row>38</xdr:row>
      <xdr:rowOff>0</xdr:rowOff>
    </xdr:from>
    <xdr:to>
      <xdr:col>26</xdr:col>
      <xdr:colOff>700088</xdr:colOff>
      <xdr:row>56</xdr:row>
      <xdr:rowOff>14287</xdr:rowOff>
    </xdr:to>
    <xdr:graphicFrame macro="">
      <xdr:nvGraphicFramePr>
        <xdr:cNvPr id="9" name="Chart 8">
          <a:extLst>
            <a:ext uri="{FF2B5EF4-FFF2-40B4-BE49-F238E27FC236}">
              <a16:creationId xmlns:a16="http://schemas.microsoft.com/office/drawing/2014/main" id="{F259EA6C-A2AC-4514-889D-841AFBABC63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17</xdr:col>
      <xdr:colOff>0</xdr:colOff>
      <xdr:row>70</xdr:row>
      <xdr:rowOff>0</xdr:rowOff>
    </xdr:from>
    <xdr:to>
      <xdr:col>26</xdr:col>
      <xdr:colOff>700088</xdr:colOff>
      <xdr:row>88</xdr:row>
      <xdr:rowOff>14287</xdr:rowOff>
    </xdr:to>
    <xdr:graphicFrame macro="">
      <xdr:nvGraphicFramePr>
        <xdr:cNvPr id="10" name="Chart 9">
          <a:extLst>
            <a:ext uri="{FF2B5EF4-FFF2-40B4-BE49-F238E27FC236}">
              <a16:creationId xmlns:a16="http://schemas.microsoft.com/office/drawing/2014/main" id="{A9B48AF1-147C-4F7E-8876-FD1518E48FA9}"/>
            </a:ext>
            <a:ext uri="{147F2762-F138-4A5C-976F-8EAC2B608ADB}">
              <a16:predDERef xmlns:a16="http://schemas.microsoft.com/office/drawing/2014/main" pred="{78A0A785-FDD1-9B0B-2215-B9FF5AB2AC3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15</xdr:col>
      <xdr:colOff>396240</xdr:colOff>
      <xdr:row>4</xdr:row>
      <xdr:rowOff>34290</xdr:rowOff>
    </xdr:from>
    <xdr:to>
      <xdr:col>27</xdr:col>
      <xdr:colOff>495300</xdr:colOff>
      <xdr:row>29</xdr:row>
      <xdr:rowOff>28575</xdr:rowOff>
    </xdr:to>
    <xdr:graphicFrame macro="">
      <xdr:nvGraphicFramePr>
        <xdr:cNvPr id="2" name="Chart 1">
          <a:extLst>
            <a:ext uri="{FF2B5EF4-FFF2-40B4-BE49-F238E27FC236}">
              <a16:creationId xmlns:a16="http://schemas.microsoft.com/office/drawing/2014/main" id="{4D9DAE14-DF31-41AD-93FD-CA489FB094C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29</xdr:col>
      <xdr:colOff>0</xdr:colOff>
      <xdr:row>4</xdr:row>
      <xdr:rowOff>0</xdr:rowOff>
    </xdr:from>
    <xdr:to>
      <xdr:col>41</xdr:col>
      <xdr:colOff>99060</xdr:colOff>
      <xdr:row>28</xdr:row>
      <xdr:rowOff>184785</xdr:rowOff>
    </xdr:to>
    <xdr:graphicFrame macro="">
      <xdr:nvGraphicFramePr>
        <xdr:cNvPr id="3" name="Chart 2">
          <a:extLst>
            <a:ext uri="{FF2B5EF4-FFF2-40B4-BE49-F238E27FC236}">
              <a16:creationId xmlns:a16="http://schemas.microsoft.com/office/drawing/2014/main" id="{2691628F-D468-4718-8E02-2A3BE39B5C9B}"/>
            </a:ext>
            <a:ext uri="{147F2762-F138-4A5C-976F-8EAC2B608ADB}">
              <a16:predDERef xmlns:a16="http://schemas.microsoft.com/office/drawing/2014/main" pred="{22DE7186-EB1C-49A9-8EF6-50309436E8C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7</xdr:col>
      <xdr:colOff>0</xdr:colOff>
      <xdr:row>31</xdr:row>
      <xdr:rowOff>0</xdr:rowOff>
    </xdr:from>
    <xdr:to>
      <xdr:col>21</xdr:col>
      <xdr:colOff>342900</xdr:colOff>
      <xdr:row>50</xdr:row>
      <xdr:rowOff>9524</xdr:rowOff>
    </xdr:to>
    <xdr:graphicFrame macro="">
      <xdr:nvGraphicFramePr>
        <xdr:cNvPr id="3" name="Chart 2">
          <a:extLst>
            <a:ext uri="{FF2B5EF4-FFF2-40B4-BE49-F238E27FC236}">
              <a16:creationId xmlns:a16="http://schemas.microsoft.com/office/drawing/2014/main" id="{F5B627B9-26A0-4017-9EBF-D60011F7050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0</xdr:colOff>
      <xdr:row>55</xdr:row>
      <xdr:rowOff>0</xdr:rowOff>
    </xdr:from>
    <xdr:to>
      <xdr:col>21</xdr:col>
      <xdr:colOff>342900</xdr:colOff>
      <xdr:row>74</xdr:row>
      <xdr:rowOff>9524</xdr:rowOff>
    </xdr:to>
    <xdr:graphicFrame macro="">
      <xdr:nvGraphicFramePr>
        <xdr:cNvPr id="4" name="Chart 3">
          <a:extLst>
            <a:ext uri="{FF2B5EF4-FFF2-40B4-BE49-F238E27FC236}">
              <a16:creationId xmlns:a16="http://schemas.microsoft.com/office/drawing/2014/main" id="{E020F2B9-7CDB-49AD-8702-F016118AE49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38100</xdr:colOff>
      <xdr:row>3</xdr:row>
      <xdr:rowOff>38100</xdr:rowOff>
    </xdr:from>
    <xdr:to>
      <xdr:col>21</xdr:col>
      <xdr:colOff>381000</xdr:colOff>
      <xdr:row>24</xdr:row>
      <xdr:rowOff>47624</xdr:rowOff>
    </xdr:to>
    <xdr:graphicFrame macro="">
      <xdr:nvGraphicFramePr>
        <xdr:cNvPr id="6" name="Chart 5">
          <a:extLst>
            <a:ext uri="{FF2B5EF4-FFF2-40B4-BE49-F238E27FC236}">
              <a16:creationId xmlns:a16="http://schemas.microsoft.com/office/drawing/2014/main" id="{8610DF49-1E84-4A2C-84C1-4FA637A2A67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1219198</xdr:colOff>
      <xdr:row>10</xdr:row>
      <xdr:rowOff>190499</xdr:rowOff>
    </xdr:from>
    <xdr:to>
      <xdr:col>8</xdr:col>
      <xdr:colOff>180975</xdr:colOff>
      <xdr:row>31</xdr:row>
      <xdr:rowOff>104775</xdr:rowOff>
    </xdr:to>
    <xdr:graphicFrame macro="">
      <xdr:nvGraphicFramePr>
        <xdr:cNvPr id="3" name="Chart 2">
          <a:extLst>
            <a:ext uri="{FF2B5EF4-FFF2-40B4-BE49-F238E27FC236}">
              <a16:creationId xmlns:a16="http://schemas.microsoft.com/office/drawing/2014/main" id="{0D25160B-FE01-4539-B4F8-0A8E04EE014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1.bin"/><Relationship Id="rId1" Type="http://schemas.openxmlformats.org/officeDocument/2006/relationships/hyperlink" Target="https://gcc02.safelinks.protection.outlook.com/?url=https%3A%2F%2Fwww.austintexas.gov%2Fsites%2Fdefault%2Ffiles%2Ffiles%2FNSU%2F2023%2520Federal%2520Poverty%2520Guidelines.pdf&amp;data=05%7C02%7CMatthew.Russell%40austinenergy.com%7Cf40c620604e34fcada5c08dcd1b73264%7C482dc10d91804c99816e70ee2557afd5%7C0%7C0%7C638615831985555694%7CUnknown%7CTWFpbGZsb3d8eyJWIjoiMC4wLjAwMDAiLCJQIjoiV2luMzIiLCJBTiI6Ik1haWwiLCJXVCI6Mn0%3D%7C4000%7C%7C%7C&amp;sdata=HCygp9EAgLIjb9isnpJdbrI%2BK1G07IUZj4%2BNqSBdSAU%3D&amp;reserved=0" TargetMode="Externa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0.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12.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13.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_rels/sheet14.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15.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8.v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FE633D-5ACC-4B88-B9BF-BE324C5B5DB8}">
  <dimension ref="B1:O56"/>
  <sheetViews>
    <sheetView tabSelected="1" zoomScaleNormal="100" workbookViewId="0"/>
  </sheetViews>
  <sheetFormatPr defaultColWidth="9.140625" defaultRowHeight="15" x14ac:dyDescent="0.25"/>
  <cols>
    <col min="2" max="2" width="17.140625" customWidth="1"/>
    <col min="3" max="13" width="16.28515625" customWidth="1"/>
    <col min="14" max="14" width="18.140625" hidden="1" customWidth="1"/>
    <col min="15" max="15" width="25.140625" hidden="1" customWidth="1"/>
    <col min="16" max="16" width="12.28515625" customWidth="1"/>
  </cols>
  <sheetData>
    <row r="1" spans="2:15" x14ac:dyDescent="0.25">
      <c r="B1" s="1" t="s">
        <v>0</v>
      </c>
    </row>
    <row r="3" spans="2:15" ht="60" x14ac:dyDescent="0.25">
      <c r="C3" s="9" t="s">
        <v>1</v>
      </c>
      <c r="D3" s="9" t="s">
        <v>2</v>
      </c>
      <c r="E3" s="9" t="s">
        <v>3</v>
      </c>
      <c r="F3" s="9" t="s">
        <v>4</v>
      </c>
      <c r="G3" s="9" t="s">
        <v>5</v>
      </c>
      <c r="H3" s="9" t="s">
        <v>6</v>
      </c>
      <c r="I3" s="9" t="s">
        <v>7</v>
      </c>
      <c r="J3" s="9" t="s">
        <v>8</v>
      </c>
      <c r="K3" s="9" t="s">
        <v>9</v>
      </c>
      <c r="L3" s="9" t="s">
        <v>10</v>
      </c>
      <c r="M3" s="9" t="s">
        <v>11</v>
      </c>
      <c r="N3" s="2" t="s">
        <v>12</v>
      </c>
      <c r="O3" s="2" t="s">
        <v>13</v>
      </c>
    </row>
    <row r="4" spans="2:15" x14ac:dyDescent="0.25">
      <c r="B4" s="15">
        <v>1</v>
      </c>
      <c r="C4" s="108">
        <f>'Net Cost'!B6</f>
        <v>7.9340732905410034</v>
      </c>
      <c r="D4" s="107">
        <f>'Bill Impact'!M12</f>
        <v>38.354317018620179</v>
      </c>
      <c r="E4" s="12">
        <f>'Bill Impact'!E54</f>
        <v>3.6564022402966877E-2</v>
      </c>
      <c r="F4" s="110">
        <f>'Liquidity Risk'!E6</f>
        <v>1093.3340209442185</v>
      </c>
      <c r="G4" s="110">
        <f>'Liquidity Risk'!F6</f>
        <v>523.10798042504723</v>
      </c>
      <c r="H4" s="53">
        <f>'Reliability Risk Hours'!N6</f>
        <v>890</v>
      </c>
      <c r="I4" s="53">
        <f>'Reliability Risk Hours'!N47</f>
        <v>178</v>
      </c>
      <c r="J4" s="165">
        <f>'P14-17 Emissions'!B41</f>
        <v>14.3</v>
      </c>
      <c r="K4" s="53">
        <f>'P14-17 Emissions'!B71</f>
        <v>1596</v>
      </c>
      <c r="L4" s="53">
        <f>'P14-17 Emissions'!B100</f>
        <v>49.4</v>
      </c>
      <c r="M4" s="53">
        <f>'P14-17 Emissions'!B130</f>
        <v>389</v>
      </c>
      <c r="N4" s="3">
        <v>12</v>
      </c>
      <c r="O4" s="4" t="e">
        <f>SUMPRODUCT(C4:N4,#REF!)</f>
        <v>#REF!</v>
      </c>
    </row>
    <row r="5" spans="2:15" x14ac:dyDescent="0.25">
      <c r="B5" s="15">
        <v>2</v>
      </c>
      <c r="C5" s="108">
        <f>'Net Cost'!B7</f>
        <v>10.50947241647096</v>
      </c>
      <c r="D5" s="107">
        <f>'Bill Impact'!M13</f>
        <v>67.093149287412885</v>
      </c>
      <c r="E5" s="12">
        <f>'Bill Impact'!E55</f>
        <v>4.4677467550194652E-2</v>
      </c>
      <c r="F5" s="110">
        <f>'Liquidity Risk'!E7</f>
        <v>1278.1305085788722</v>
      </c>
      <c r="G5" s="110">
        <f>'Liquidity Risk'!F7</f>
        <v>531.17308736343944</v>
      </c>
      <c r="H5" s="53">
        <f>'Reliability Risk Hours'!N7</f>
        <v>2940</v>
      </c>
      <c r="I5" s="53">
        <f>'Reliability Risk Hours'!N48</f>
        <v>188</v>
      </c>
      <c r="J5" s="165">
        <f>'P14-17 Emissions'!B42</f>
        <v>5.8</v>
      </c>
      <c r="K5" s="53">
        <f>'P14-17 Emissions'!B72</f>
        <v>589</v>
      </c>
      <c r="L5" s="53">
        <f>'P14-17 Emissions'!B101</f>
        <v>8.1999999999999993</v>
      </c>
      <c r="M5" s="53">
        <f>'P14-17 Emissions'!B131</f>
        <v>152</v>
      </c>
      <c r="N5" s="3">
        <v>6</v>
      </c>
      <c r="O5" s="4" t="e">
        <f>SUMPRODUCT(C5:N5,#REF!)</f>
        <v>#REF!</v>
      </c>
    </row>
    <row r="6" spans="2:15" x14ac:dyDescent="0.25">
      <c r="B6" s="15">
        <v>3</v>
      </c>
      <c r="C6" s="108">
        <f>'Net Cost'!B8</f>
        <v>7.6284621585795449</v>
      </c>
      <c r="D6" s="107">
        <f>'Bill Impact'!M14</f>
        <v>32.636479725000271</v>
      </c>
      <c r="E6" s="12">
        <f>'Bill Impact'!E56</f>
        <v>3.4949782867808914E-2</v>
      </c>
      <c r="F6" s="110">
        <f>'Liquidity Risk'!E8</f>
        <v>553.54447398198363</v>
      </c>
      <c r="G6" s="110">
        <f>'Liquidity Risk'!F8</f>
        <v>292.82172381386471</v>
      </c>
      <c r="H6" s="53">
        <f>'Reliability Risk Hours'!N8</f>
        <v>72</v>
      </c>
      <c r="I6" s="53">
        <f>'Reliability Risk Hours'!N49</f>
        <v>15</v>
      </c>
      <c r="J6" s="165">
        <f>'P14-17 Emissions'!B43</f>
        <v>26.6</v>
      </c>
      <c r="K6" s="53">
        <f>'P14-17 Emissions'!B73</f>
        <v>3016</v>
      </c>
      <c r="L6" s="53">
        <f>'P14-17 Emissions'!B102</f>
        <v>88</v>
      </c>
      <c r="M6" s="53">
        <f>'P14-17 Emissions'!B132</f>
        <v>761</v>
      </c>
      <c r="N6" s="3">
        <v>11</v>
      </c>
      <c r="O6" s="4" t="e">
        <f>SUMPRODUCT(C6:N6,#REF!)</f>
        <v>#REF!</v>
      </c>
    </row>
    <row r="7" spans="2:15" x14ac:dyDescent="0.25">
      <c r="B7" s="15">
        <v>4</v>
      </c>
      <c r="C7" s="108">
        <f>'Net Cost'!B9</f>
        <v>6.6959999999999997</v>
      </c>
      <c r="D7" s="107">
        <f>'Bill Impact'!M15</f>
        <v>20.611000000000001</v>
      </c>
      <c r="E7" s="12">
        <f>'Bill Impact'!E57</f>
        <v>3.1554930813570588E-2</v>
      </c>
      <c r="F7" s="110">
        <f>'Liquidity Risk'!E9</f>
        <v>522.933016297687</v>
      </c>
      <c r="G7" s="110">
        <f>'Liquidity Risk'!F9</f>
        <v>298.98929762094451</v>
      </c>
      <c r="H7" s="53">
        <f>'Reliability Risk Hours'!N9</f>
        <v>76</v>
      </c>
      <c r="I7" s="53">
        <f>'Reliability Risk Hours'!N50</f>
        <v>15</v>
      </c>
      <c r="J7" s="165">
        <f>'P14-17 Emissions'!B44</f>
        <v>40.4</v>
      </c>
      <c r="K7" s="53">
        <f>'P14-17 Emissions'!B74</f>
        <v>8978</v>
      </c>
      <c r="L7" s="53">
        <f>'P14-17 Emissions'!B103</f>
        <v>1036</v>
      </c>
      <c r="M7" s="53">
        <f>'P14-17 Emissions'!B133</f>
        <v>869</v>
      </c>
      <c r="N7" s="3">
        <v>13</v>
      </c>
      <c r="O7" s="4" t="e">
        <f>SUMPRODUCT(C7:N7,#REF!)</f>
        <v>#REF!</v>
      </c>
    </row>
    <row r="8" spans="2:15" x14ac:dyDescent="0.25">
      <c r="B8" s="15">
        <v>5</v>
      </c>
      <c r="C8" s="108">
        <f>'Net Cost'!B10</f>
        <v>10.48009148713064</v>
      </c>
      <c r="D8" s="107">
        <f>'Bill Impact'!M16</f>
        <v>68.302215704094763</v>
      </c>
      <c r="E8" s="12">
        <f>'Bill Impact'!E58</f>
        <v>4.5018806890615798E-2</v>
      </c>
      <c r="F8" s="110">
        <f>'Liquidity Risk'!E10</f>
        <v>1261.6197187089581</v>
      </c>
      <c r="G8" s="110">
        <f>'Liquidity Risk'!F10</f>
        <v>514.22914732598167</v>
      </c>
      <c r="H8" s="53">
        <f>'Reliability Risk Hours'!N10</f>
        <v>4452</v>
      </c>
      <c r="I8" s="53">
        <f>'Reliability Risk Hours'!N51</f>
        <v>622</v>
      </c>
      <c r="J8" s="165">
        <f>'P14-17 Emissions'!B45</f>
        <v>5.8</v>
      </c>
      <c r="K8" s="53">
        <f>'P14-17 Emissions'!B75</f>
        <v>599</v>
      </c>
      <c r="L8" s="53">
        <f>'P14-17 Emissions'!B104</f>
        <v>6.8</v>
      </c>
      <c r="M8" s="53">
        <f>'P14-17 Emissions'!B134</f>
        <v>153</v>
      </c>
      <c r="N8" s="3">
        <v>7</v>
      </c>
      <c r="O8" s="4" t="e">
        <f>SUMPRODUCT(C8:N8,#REF!)</f>
        <v>#REF!</v>
      </c>
    </row>
    <row r="9" spans="2:15" x14ac:dyDescent="0.25">
      <c r="B9" s="15">
        <v>6</v>
      </c>
      <c r="C9" s="108">
        <f>'Net Cost'!B11</f>
        <v>10.354670868290148</v>
      </c>
      <c r="D9" s="107">
        <f>'Bill Impact'!M17</f>
        <v>68.116987862990243</v>
      </c>
      <c r="E9" s="12">
        <f>'Bill Impact'!E59</f>
        <v>4.4966514023790698E-2</v>
      </c>
      <c r="F9" s="110">
        <f>'Liquidity Risk'!E11</f>
        <v>1232.5592058112561</v>
      </c>
      <c r="G9" s="110">
        <f>'Liquidity Risk'!F11</f>
        <v>557.24643676693654</v>
      </c>
      <c r="H9" s="53">
        <f>'Reliability Risk Hours'!N11</f>
        <v>2495</v>
      </c>
      <c r="I9" s="53">
        <f>'Reliability Risk Hours'!N52</f>
        <v>260</v>
      </c>
      <c r="J9" s="165">
        <f>'P14-17 Emissions'!B46</f>
        <v>5.7</v>
      </c>
      <c r="K9" s="53">
        <f>'P14-17 Emissions'!B76</f>
        <v>584</v>
      </c>
      <c r="L9" s="53">
        <f>'P14-17 Emissions'!B105</f>
        <v>3.6</v>
      </c>
      <c r="M9" s="53">
        <f>'P14-17 Emissions'!B135</f>
        <v>150</v>
      </c>
      <c r="N9" s="3">
        <v>10</v>
      </c>
      <c r="O9" s="4" t="e">
        <f>SUMPRODUCT(C9:N9,#REF!)</f>
        <v>#REF!</v>
      </c>
    </row>
    <row r="10" spans="2:15" x14ac:dyDescent="0.25">
      <c r="B10" s="15">
        <v>7</v>
      </c>
      <c r="C10" s="108">
        <f>'Net Cost'!B12</f>
        <v>10.551666721438973</v>
      </c>
      <c r="D10" s="107">
        <f>'Bill Impact'!M18</f>
        <v>69.339314660092072</v>
      </c>
      <c r="E10" s="12">
        <f>'Bill Impact'!E60</f>
        <v>4.5311596987757941E-2</v>
      </c>
      <c r="F10" s="110">
        <f>'Liquidity Risk'!E12</f>
        <v>1119.1674274977829</v>
      </c>
      <c r="G10" s="110">
        <f>'Liquidity Risk'!F12</f>
        <v>465.63854204767335</v>
      </c>
      <c r="H10" s="53">
        <f>'Reliability Risk Hours'!N12</f>
        <v>2497</v>
      </c>
      <c r="I10" s="53">
        <f>'Reliability Risk Hours'!N53</f>
        <v>258</v>
      </c>
      <c r="J10" s="165">
        <f>'P14-17 Emissions'!B47</f>
        <v>5.6</v>
      </c>
      <c r="K10" s="53">
        <f>'P14-17 Emissions'!B77</f>
        <v>573</v>
      </c>
      <c r="L10" s="53">
        <f>'P14-17 Emissions'!B106</f>
        <v>3.6</v>
      </c>
      <c r="M10" s="53">
        <f>'P14-17 Emissions'!B136</f>
        <v>148</v>
      </c>
      <c r="N10" s="3">
        <v>8</v>
      </c>
      <c r="O10" s="4" t="e">
        <f>SUMPRODUCT(C10:N10,#REF!)</f>
        <v>#REF!</v>
      </c>
    </row>
    <row r="11" spans="2:15" x14ac:dyDescent="0.25">
      <c r="B11" s="15">
        <v>8</v>
      </c>
      <c r="C11" s="108">
        <f>'Net Cost'!B13</f>
        <v>8.8744820956806496</v>
      </c>
      <c r="D11" s="107">
        <f>'Bill Impact'!M19</f>
        <v>43.127816932428502</v>
      </c>
      <c r="E11" s="12">
        <f>'Bill Impact'!E61</f>
        <v>3.7911659960009732E-2</v>
      </c>
      <c r="F11" s="110">
        <f>'Liquidity Risk'!E13</f>
        <v>516.96670568001991</v>
      </c>
      <c r="G11" s="110">
        <f>'Liquidity Risk'!F13</f>
        <v>186.51892445714896</v>
      </c>
      <c r="H11" s="53">
        <f>'Reliability Risk Hours'!N13</f>
        <v>243</v>
      </c>
      <c r="I11" s="53">
        <f>'Reliability Risk Hours'!N54</f>
        <v>44</v>
      </c>
      <c r="J11" s="165">
        <f>'P14-17 Emissions'!B48</f>
        <v>9</v>
      </c>
      <c r="K11" s="53">
        <f>'P14-17 Emissions'!B78</f>
        <v>1730</v>
      </c>
      <c r="L11" s="53">
        <f>'P14-17 Emissions'!B107</f>
        <v>20.399999999999999</v>
      </c>
      <c r="M11" s="53">
        <f>'P14-17 Emissions'!B137</f>
        <v>259</v>
      </c>
      <c r="N11" s="5">
        <v>4</v>
      </c>
      <c r="O11" s="4" t="e">
        <f>SUMPRODUCT(C11:N11,#REF!)</f>
        <v>#REF!</v>
      </c>
    </row>
    <row r="12" spans="2:15" x14ac:dyDescent="0.25">
      <c r="B12" s="15">
        <v>9</v>
      </c>
      <c r="C12" s="108">
        <f>'Net Cost'!B14</f>
        <v>9.5946536880651294</v>
      </c>
      <c r="D12" s="107">
        <f>'Bill Impact'!M20</f>
        <v>54.573978757348584</v>
      </c>
      <c r="E12" s="12">
        <f>'Bill Impact'!E62</f>
        <v>4.1143099750053889E-2</v>
      </c>
      <c r="F12" s="110">
        <f>'Liquidity Risk'!E14</f>
        <v>757.10633621079319</v>
      </c>
      <c r="G12" s="110">
        <f>'Liquidity Risk'!F14</f>
        <v>305.75206581652401</v>
      </c>
      <c r="H12" s="53">
        <f>'Reliability Risk Hours'!N14</f>
        <v>628</v>
      </c>
      <c r="I12" s="53">
        <f>'Reliability Risk Hours'!N55</f>
        <v>97</v>
      </c>
      <c r="J12" s="165">
        <f>'P14-17 Emissions'!B49</f>
        <v>8.1999999999999993</v>
      </c>
      <c r="K12" s="53">
        <f>'P14-17 Emissions'!B79</f>
        <v>1355</v>
      </c>
      <c r="L12" s="53">
        <f>'P14-17 Emissions'!B108</f>
        <v>17.2</v>
      </c>
      <c r="M12" s="53">
        <f>'P14-17 Emissions'!B138</f>
        <v>235</v>
      </c>
      <c r="N12" s="3">
        <v>5</v>
      </c>
      <c r="O12" s="4" t="e">
        <f>SUMPRODUCT(C12:N12,#REF!)</f>
        <v>#REF!</v>
      </c>
    </row>
    <row r="13" spans="2:15" x14ac:dyDescent="0.25">
      <c r="B13" s="15">
        <v>10</v>
      </c>
      <c r="C13" s="108">
        <f>'Net Cost'!B15</f>
        <v>9.8232670362372545</v>
      </c>
      <c r="D13" s="107">
        <f>'Bill Impact'!M21</f>
        <v>55.511823959363966</v>
      </c>
      <c r="E13" s="12">
        <f>'Bill Impact'!E63</f>
        <v>4.1407868879570854E-2</v>
      </c>
      <c r="F13" s="110">
        <f>'Liquidity Risk'!E15</f>
        <v>610.24081184555382</v>
      </c>
      <c r="G13" s="110">
        <f>'Liquidity Risk'!F15</f>
        <v>329.17140084320124</v>
      </c>
      <c r="H13" s="53">
        <f>'Reliability Risk Hours'!N15</f>
        <v>416</v>
      </c>
      <c r="I13" s="53">
        <f>'Reliability Risk Hours'!N56</f>
        <v>79</v>
      </c>
      <c r="J13" s="165">
        <f>'P14-17 Emissions'!B50</f>
        <v>6.3</v>
      </c>
      <c r="K13" s="53">
        <f>'P14-17 Emissions'!B80</f>
        <v>650</v>
      </c>
      <c r="L13" s="53">
        <f>'P14-17 Emissions'!B109</f>
        <v>3.6</v>
      </c>
      <c r="M13" s="53">
        <f>'P14-17 Emissions'!B139</f>
        <v>554</v>
      </c>
      <c r="N13" s="3">
        <v>9</v>
      </c>
      <c r="O13" s="4" t="e">
        <f>SUMPRODUCT(C13:N13,#REF!)</f>
        <v>#REF!</v>
      </c>
    </row>
    <row r="14" spans="2:15" x14ac:dyDescent="0.25">
      <c r="B14" s="15">
        <v>11</v>
      </c>
      <c r="C14" s="108">
        <f>'Net Cost'!B16</f>
        <v>8.0328268831610981</v>
      </c>
      <c r="D14" s="107">
        <f>'Bill Impact'!M22</f>
        <v>34.721639614770794</v>
      </c>
      <c r="E14" s="12">
        <f>'Bill Impact'!E64</f>
        <v>3.5538457808760637E-2</v>
      </c>
      <c r="F14" s="110">
        <f>'Liquidity Risk'!E16</f>
        <v>463.4535569879547</v>
      </c>
      <c r="G14" s="110">
        <f>'Liquidity Risk'!F16</f>
        <v>238.84071351224259</v>
      </c>
      <c r="H14" s="53">
        <f>'Reliability Risk Hours'!N16</f>
        <v>74</v>
      </c>
      <c r="I14" s="53">
        <f>'Reliability Risk Hours'!N57</f>
        <v>15</v>
      </c>
      <c r="J14" s="165">
        <f>'P14-17 Emissions'!B51</f>
        <v>24.5</v>
      </c>
      <c r="K14" s="53">
        <f>'P14-17 Emissions'!B81</f>
        <v>5267</v>
      </c>
      <c r="L14" s="53">
        <f>'P14-17 Emissions'!B110</f>
        <v>561.6</v>
      </c>
      <c r="M14" s="53">
        <f>'P14-17 Emissions'!B140</f>
        <v>167</v>
      </c>
      <c r="N14" s="5">
        <v>1</v>
      </c>
      <c r="O14" s="4" t="e">
        <f>SUMPRODUCT(C14:N14,#REF!)</f>
        <v>#REF!</v>
      </c>
    </row>
    <row r="15" spans="2:15" x14ac:dyDescent="0.25">
      <c r="B15" s="15">
        <v>12</v>
      </c>
      <c r="C15" s="108">
        <f>'Net Cost'!B17</f>
        <v>10.857590012694613</v>
      </c>
      <c r="D15" s="107">
        <f>'Bill Impact'!M23</f>
        <v>74.863018506384392</v>
      </c>
      <c r="E15" s="12">
        <f>'Bill Impact'!E65</f>
        <v>4.6871029456943172E-2</v>
      </c>
      <c r="F15" s="110">
        <f>'Liquidity Risk'!E17</f>
        <v>921.59357559142552</v>
      </c>
      <c r="G15" s="110">
        <f>'Liquidity Risk'!F17</f>
        <v>280.95535950019348</v>
      </c>
      <c r="H15" s="53">
        <f>'Reliability Risk Hours'!N17</f>
        <v>1482</v>
      </c>
      <c r="I15" s="53">
        <f>'Reliability Risk Hours'!N58</f>
        <v>182</v>
      </c>
      <c r="J15" s="165">
        <f>'P14-17 Emissions'!B52</f>
        <v>4.3</v>
      </c>
      <c r="K15" s="53">
        <f>'P14-17 Emissions'!B82</f>
        <v>440</v>
      </c>
      <c r="L15" s="53">
        <f>'P14-17 Emissions'!B111</f>
        <v>0</v>
      </c>
      <c r="M15" s="53">
        <f>'P14-17 Emissions'!B141</f>
        <v>114</v>
      </c>
      <c r="N15" s="5">
        <v>2</v>
      </c>
      <c r="O15" s="4" t="e">
        <f>SUMPRODUCT(C15:N15,#REF!)</f>
        <v>#REF!</v>
      </c>
    </row>
    <row r="16" spans="2:15" x14ac:dyDescent="0.25">
      <c r="B16" s="15">
        <v>13</v>
      </c>
      <c r="C16" s="108">
        <f>'Net Cost'!B18</f>
        <v>11.647295834106599</v>
      </c>
      <c r="D16" s="107">
        <f>'Bill Impact'!M24</f>
        <v>80.73441538281341</v>
      </c>
      <c r="E16" s="12">
        <f>'Bill Impact'!E66</f>
        <v>4.8528621388618159E-2</v>
      </c>
      <c r="F16" s="110">
        <f>'Liquidity Risk'!E18</f>
        <v>1053.0605680119349</v>
      </c>
      <c r="G16" s="110">
        <f>'Liquidity Risk'!F18</f>
        <v>325.80872803390434</v>
      </c>
      <c r="H16" s="53">
        <f>'Reliability Risk Hours'!N18</f>
        <v>2785</v>
      </c>
      <c r="I16" s="53">
        <f>'Reliability Risk Hours'!N59</f>
        <v>296</v>
      </c>
      <c r="J16" s="165">
        <f>'P14-17 Emissions'!B53</f>
        <v>4.4000000000000004</v>
      </c>
      <c r="K16" s="53">
        <f>'P14-17 Emissions'!B83</f>
        <v>457</v>
      </c>
      <c r="L16" s="53">
        <f>'P14-17 Emissions'!B112</f>
        <v>0.9</v>
      </c>
      <c r="M16" s="53">
        <f>'P14-17 Emissions'!B142</f>
        <v>118</v>
      </c>
      <c r="N16" s="5">
        <v>3</v>
      </c>
      <c r="O16" s="4" t="e">
        <f>SUMPRODUCT(C16:N16,#REF!)</f>
        <v>#REF!</v>
      </c>
    </row>
    <row r="17" spans="2:13" x14ac:dyDescent="0.25">
      <c r="B17" s="15">
        <v>14</v>
      </c>
      <c r="C17" s="140">
        <f>'Net Cost'!B19</f>
        <v>9.1482297936070847</v>
      </c>
      <c r="D17" s="141">
        <f>'Bill Impact'!M25</f>
        <v>48.69</v>
      </c>
      <c r="E17" s="142">
        <f>'Bill Impact'!E67</f>
        <v>3.9478003316082727E-2</v>
      </c>
      <c r="F17" s="143">
        <f>'Liquidity Risk'!E19</f>
        <v>443.79113137118895</v>
      </c>
      <c r="G17" s="143">
        <f>'Liquidity Risk'!F19</f>
        <v>274.30860205954491</v>
      </c>
      <c r="H17" s="144">
        <f>'Reliability Risk Hours'!N19</f>
        <v>117</v>
      </c>
      <c r="I17" s="144">
        <f>'Reliability Risk Hours'!N60</f>
        <v>20</v>
      </c>
      <c r="J17" s="166">
        <f>'P14-17 Emissions'!B54</f>
        <v>6.786094529619886</v>
      </c>
      <c r="K17" s="144">
        <f>'P14-17 Emissions'!B84</f>
        <v>710.78653724031574</v>
      </c>
      <c r="L17" s="144">
        <f>'P14-17 Emissions'!B113</f>
        <v>2.2679851220175995</v>
      </c>
      <c r="M17" s="144">
        <f>'P14-17 Emissions'!B143</f>
        <v>183.8827144606731</v>
      </c>
    </row>
    <row r="18" spans="2:13" x14ac:dyDescent="0.25">
      <c r="B18" s="15">
        <v>15</v>
      </c>
      <c r="C18" s="140">
        <f>'Net Cost'!B20</f>
        <v>10.925653777682868</v>
      </c>
      <c r="D18" s="141">
        <f>'Bill Impact'!M26</f>
        <v>75.176700988561976</v>
      </c>
      <c r="E18" s="142">
        <f>'Bill Impact'!E68</f>
        <v>4.6959587182218522E-2</v>
      </c>
      <c r="F18" s="143">
        <f>'Liquidity Risk'!E20</f>
        <v>879.12184092141649</v>
      </c>
      <c r="G18" s="143">
        <f>'Liquidity Risk'!F20</f>
        <v>228.09700657377385</v>
      </c>
      <c r="H18" s="144">
        <f>'Reliability Risk Hours'!N20</f>
        <v>371</v>
      </c>
      <c r="I18" s="144">
        <f>'Reliability Risk Hours'!N61</f>
        <v>56</v>
      </c>
      <c r="J18" s="166">
        <f>'P14-17 Emissions'!B55</f>
        <v>4.2</v>
      </c>
      <c r="K18" s="144">
        <f>'P14-17 Emissions'!B85</f>
        <v>437.26753152499327</v>
      </c>
      <c r="L18" s="144">
        <f>'P14-17 Emissions'!B114</f>
        <v>0</v>
      </c>
      <c r="M18" s="144">
        <f>'P14-17 Emissions'!B144</f>
        <v>113</v>
      </c>
    </row>
    <row r="19" spans="2:13" x14ac:dyDescent="0.25">
      <c r="B19" s="15">
        <v>16</v>
      </c>
      <c r="C19" s="140">
        <f>'Net Cost'!B21</f>
        <v>10.846411811098964</v>
      </c>
      <c r="D19" s="141">
        <f>'Bill Impact'!M27</f>
        <v>69.551460092076269</v>
      </c>
      <c r="E19" s="142">
        <f>'Bill Impact'!E69</f>
        <v>4.5371489133323915E-2</v>
      </c>
      <c r="F19" s="143">
        <f>'Liquidity Risk'!E21</f>
        <v>290.11008962937473</v>
      </c>
      <c r="G19" s="143">
        <f>'Liquidity Risk'!F21</f>
        <v>64.722750724907215</v>
      </c>
      <c r="H19" s="144">
        <f>'Reliability Risk Hours'!N21</f>
        <v>104</v>
      </c>
      <c r="I19" s="144">
        <f>'Reliability Risk Hours'!N62</f>
        <v>19</v>
      </c>
      <c r="J19" s="166">
        <f>'P14-17 Emissions'!B56</f>
        <v>4.8</v>
      </c>
      <c r="K19" s="144">
        <f>'P14-17 Emissions'!B86</f>
        <v>502.5855030391001</v>
      </c>
      <c r="L19" s="144">
        <f>'P14-17 Emissions'!B115</f>
        <v>0</v>
      </c>
      <c r="M19" s="144">
        <f>'P14-17 Emissions'!B145</f>
        <v>130</v>
      </c>
    </row>
    <row r="20" spans="2:13" x14ac:dyDescent="0.25">
      <c r="B20" s="15">
        <v>17</v>
      </c>
      <c r="C20" s="140">
        <f>'Net Cost'!B22</f>
        <v>10.604367254095976</v>
      </c>
      <c r="D20" s="141">
        <f>'Bill Impact'!M28</f>
        <v>66.968498773821935</v>
      </c>
      <c r="E20" s="142">
        <f>'Bill Impact'!E70</f>
        <v>4.4642276659516318E-2</v>
      </c>
      <c r="F20" s="143">
        <f>'Liquidity Risk'!E22</f>
        <v>311.59663932086619</v>
      </c>
      <c r="G20" s="143">
        <f>'Liquidity Risk'!F22</f>
        <v>117.6622869759036</v>
      </c>
      <c r="H20" s="144">
        <f>'Reliability Risk Hours'!N22</f>
        <v>115</v>
      </c>
      <c r="I20" s="144">
        <f>'Reliability Risk Hours'!N63</f>
        <v>20</v>
      </c>
      <c r="J20" s="166">
        <f>'P14-17 Emissions'!B57</f>
        <v>4.9000000000000004</v>
      </c>
      <c r="K20" s="144">
        <f>'P14-17 Emissions'!B87</f>
        <v>510.75024947836351</v>
      </c>
      <c r="L20" s="144">
        <f>'P14-17 Emissions'!B116</f>
        <v>0</v>
      </c>
      <c r="M20" s="144">
        <f>'P14-17 Emissions'!B146</f>
        <v>132</v>
      </c>
    </row>
    <row r="22" spans="2:13" x14ac:dyDescent="0.25">
      <c r="B22" s="8" t="s">
        <v>14</v>
      </c>
      <c r="C22" s="6" t="s">
        <v>15</v>
      </c>
      <c r="D22" s="6" t="s">
        <v>16</v>
      </c>
      <c r="E22" s="6" t="s">
        <v>16</v>
      </c>
      <c r="F22" s="6" t="s">
        <v>17</v>
      </c>
      <c r="G22" s="6" t="s">
        <v>18</v>
      </c>
      <c r="H22" s="6" t="s">
        <v>15</v>
      </c>
      <c r="I22" s="6" t="s">
        <v>15</v>
      </c>
      <c r="J22" s="6" t="s">
        <v>15</v>
      </c>
      <c r="K22" s="6" t="s">
        <v>15</v>
      </c>
      <c r="L22" s="6" t="s">
        <v>15</v>
      </c>
      <c r="M22" s="6" t="s">
        <v>15</v>
      </c>
    </row>
    <row r="23" spans="2:13" ht="26.25" x14ac:dyDescent="0.25">
      <c r="B23" s="8" t="s">
        <v>19</v>
      </c>
      <c r="C23" s="7" t="s">
        <v>20</v>
      </c>
      <c r="D23" s="7">
        <v>2035</v>
      </c>
      <c r="E23" s="7">
        <v>2035</v>
      </c>
      <c r="F23" s="16" t="s">
        <v>21</v>
      </c>
      <c r="G23" s="16" t="s">
        <v>21</v>
      </c>
      <c r="H23" s="7" t="s">
        <v>22</v>
      </c>
      <c r="I23" s="7" t="s">
        <v>22</v>
      </c>
      <c r="J23" s="7" t="s">
        <v>22</v>
      </c>
      <c r="K23" s="7" t="s">
        <v>22</v>
      </c>
      <c r="L23" s="7" t="s">
        <v>22</v>
      </c>
      <c r="M23" s="7" t="s">
        <v>22</v>
      </c>
    </row>
    <row r="25" spans="2:13" x14ac:dyDescent="0.25">
      <c r="F25" s="54"/>
      <c r="G25" s="54"/>
    </row>
    <row r="26" spans="2:13" x14ac:dyDescent="0.25">
      <c r="C26" s="44"/>
      <c r="D26" s="44"/>
      <c r="E26" s="45"/>
      <c r="F26" s="54"/>
      <c r="G26" s="54"/>
    </row>
    <row r="27" spans="2:13" x14ac:dyDescent="0.25">
      <c r="C27" s="44"/>
      <c r="D27" s="44"/>
      <c r="E27" s="45"/>
      <c r="F27" s="54"/>
      <c r="G27" s="54"/>
      <c r="H27" s="46"/>
    </row>
    <row r="28" spans="2:13" x14ac:dyDescent="0.25">
      <c r="C28" s="44"/>
      <c r="D28" s="44"/>
      <c r="E28" s="45"/>
      <c r="F28" s="54"/>
      <c r="G28" s="54"/>
    </row>
    <row r="29" spans="2:13" x14ac:dyDescent="0.25">
      <c r="C29" s="44"/>
      <c r="D29" s="44"/>
      <c r="E29" s="45"/>
      <c r="F29" s="54"/>
      <c r="G29" s="54"/>
    </row>
    <row r="30" spans="2:13" x14ac:dyDescent="0.25">
      <c r="C30" s="44"/>
      <c r="D30" s="44"/>
      <c r="E30" s="45"/>
      <c r="F30" s="54"/>
      <c r="G30" s="54"/>
      <c r="H30" s="46"/>
    </row>
    <row r="31" spans="2:13" x14ac:dyDescent="0.25">
      <c r="C31" s="44"/>
      <c r="D31" s="44"/>
      <c r="E31" s="45"/>
      <c r="F31" s="54"/>
      <c r="G31" s="54"/>
      <c r="H31" s="46"/>
    </row>
    <row r="32" spans="2:13" x14ac:dyDescent="0.25">
      <c r="C32" s="44"/>
      <c r="D32" s="44"/>
      <c r="E32" s="45"/>
      <c r="F32" s="54"/>
      <c r="G32" s="54"/>
      <c r="H32" s="46"/>
    </row>
    <row r="33" spans="3:15" x14ac:dyDescent="0.25">
      <c r="C33" s="44"/>
      <c r="D33" s="44"/>
      <c r="E33" s="45"/>
      <c r="F33" s="54"/>
      <c r="G33" s="54"/>
    </row>
    <row r="34" spans="3:15" x14ac:dyDescent="0.25">
      <c r="C34" s="44"/>
      <c r="D34" s="44"/>
      <c r="E34" s="45"/>
      <c r="F34" s="54"/>
      <c r="G34" s="54"/>
    </row>
    <row r="35" spans="3:15" x14ac:dyDescent="0.25">
      <c r="C35" s="44"/>
      <c r="D35" s="44"/>
      <c r="E35" s="45"/>
      <c r="F35" s="54"/>
      <c r="G35" s="54"/>
    </row>
    <row r="36" spans="3:15" x14ac:dyDescent="0.25">
      <c r="C36" s="44"/>
      <c r="D36" s="44"/>
      <c r="E36" s="45"/>
      <c r="F36" s="54"/>
      <c r="G36" s="54"/>
    </row>
    <row r="37" spans="3:15" x14ac:dyDescent="0.25">
      <c r="C37" s="44"/>
      <c r="D37" s="44"/>
      <c r="E37" s="45"/>
      <c r="F37" s="54"/>
      <c r="G37" s="54"/>
      <c r="H37" s="46"/>
    </row>
    <row r="38" spans="3:15" x14ac:dyDescent="0.25">
      <c r="C38" s="44"/>
      <c r="D38" s="44"/>
      <c r="E38" s="45"/>
      <c r="F38" s="41"/>
      <c r="G38" s="41"/>
      <c r="H38" s="46"/>
    </row>
    <row r="39" spans="3:15" x14ac:dyDescent="0.25">
      <c r="F39" s="42"/>
      <c r="G39" s="42"/>
    </row>
    <row r="40" spans="3:15" x14ac:dyDescent="0.25">
      <c r="C40" s="43"/>
      <c r="D40" s="43"/>
      <c r="E40" s="43"/>
      <c r="F40" s="43"/>
      <c r="G40" s="43"/>
      <c r="H40" s="43"/>
      <c r="I40" s="43"/>
      <c r="J40" s="43"/>
      <c r="K40" s="43"/>
      <c r="L40" s="43"/>
      <c r="M40" s="43"/>
      <c r="N40" s="43">
        <f t="shared" ref="N40:O52" si="0">N26/N4</f>
        <v>0</v>
      </c>
      <c r="O40" s="43" t="e">
        <f t="shared" si="0"/>
        <v>#REF!</v>
      </c>
    </row>
    <row r="41" spans="3:15" x14ac:dyDescent="0.25">
      <c r="C41" s="43"/>
      <c r="D41" s="43"/>
      <c r="E41" s="43"/>
      <c r="F41" s="43"/>
      <c r="G41" s="43"/>
      <c r="H41" s="43"/>
      <c r="I41" s="43"/>
      <c r="J41" s="43"/>
      <c r="K41" s="43"/>
      <c r="L41" s="43"/>
      <c r="M41" s="43"/>
      <c r="N41" s="43">
        <f t="shared" si="0"/>
        <v>0</v>
      </c>
      <c r="O41" s="43" t="e">
        <f t="shared" si="0"/>
        <v>#REF!</v>
      </c>
    </row>
    <row r="42" spans="3:15" x14ac:dyDescent="0.25">
      <c r="C42" s="43"/>
      <c r="D42" s="43"/>
      <c r="E42" s="43"/>
      <c r="F42" s="43"/>
      <c r="G42" s="43"/>
      <c r="H42" s="43"/>
      <c r="I42" s="43"/>
      <c r="J42" s="43"/>
      <c r="K42" s="43"/>
      <c r="L42" s="43"/>
      <c r="M42" s="43"/>
      <c r="N42" s="43">
        <f t="shared" si="0"/>
        <v>0</v>
      </c>
      <c r="O42" s="43" t="e">
        <f t="shared" si="0"/>
        <v>#REF!</v>
      </c>
    </row>
    <row r="43" spans="3:15" x14ac:dyDescent="0.25">
      <c r="C43" s="43"/>
      <c r="D43" s="43"/>
      <c r="E43" s="43"/>
      <c r="F43" s="43"/>
      <c r="G43" s="43"/>
      <c r="H43" s="43"/>
      <c r="I43" s="43"/>
      <c r="J43" s="43"/>
      <c r="K43" s="43"/>
      <c r="L43" s="43"/>
      <c r="M43" s="43"/>
      <c r="N43" s="43">
        <f t="shared" si="0"/>
        <v>0</v>
      </c>
      <c r="O43" s="43" t="e">
        <f t="shared" si="0"/>
        <v>#REF!</v>
      </c>
    </row>
    <row r="44" spans="3:15" x14ac:dyDescent="0.25">
      <c r="C44" s="43"/>
      <c r="D44" s="43"/>
      <c r="E44" s="43"/>
      <c r="F44" s="43"/>
      <c r="G44" s="43"/>
      <c r="H44" s="43"/>
      <c r="I44" s="43"/>
      <c r="J44" s="43"/>
      <c r="K44" s="43"/>
      <c r="L44" s="43"/>
      <c r="M44" s="43"/>
      <c r="N44" s="43">
        <f t="shared" si="0"/>
        <v>0</v>
      </c>
      <c r="O44" s="43" t="e">
        <f t="shared" si="0"/>
        <v>#REF!</v>
      </c>
    </row>
    <row r="45" spans="3:15" x14ac:dyDescent="0.25">
      <c r="C45" s="43"/>
      <c r="D45" s="43"/>
      <c r="E45" s="43"/>
      <c r="F45" s="43"/>
      <c r="G45" s="43"/>
      <c r="H45" s="43"/>
      <c r="I45" s="43"/>
      <c r="J45" s="43"/>
      <c r="K45" s="43"/>
      <c r="L45" s="43"/>
      <c r="M45" s="43"/>
      <c r="N45" s="43">
        <f t="shared" si="0"/>
        <v>0</v>
      </c>
      <c r="O45" s="43" t="e">
        <f t="shared" si="0"/>
        <v>#REF!</v>
      </c>
    </row>
    <row r="46" spans="3:15" x14ac:dyDescent="0.25">
      <c r="C46" s="43"/>
      <c r="D46" s="43"/>
      <c r="E46" s="43"/>
      <c r="F46" s="43"/>
      <c r="G46" s="43"/>
      <c r="H46" s="43"/>
      <c r="I46" s="43"/>
      <c r="J46" s="43"/>
      <c r="K46" s="43"/>
      <c r="L46" s="43"/>
      <c r="M46" s="43"/>
      <c r="N46" s="43">
        <f t="shared" si="0"/>
        <v>0</v>
      </c>
      <c r="O46" s="43" t="e">
        <f t="shared" si="0"/>
        <v>#REF!</v>
      </c>
    </row>
    <row r="47" spans="3:15" x14ac:dyDescent="0.25">
      <c r="C47" s="43"/>
      <c r="D47" s="43"/>
      <c r="E47" s="43"/>
      <c r="F47" s="43"/>
      <c r="G47" s="43"/>
      <c r="H47" s="43"/>
      <c r="I47" s="43"/>
      <c r="J47" s="43"/>
      <c r="K47" s="43"/>
      <c r="L47" s="43"/>
      <c r="M47" s="43"/>
      <c r="N47" s="43">
        <f t="shared" si="0"/>
        <v>0</v>
      </c>
      <c r="O47" s="43" t="e">
        <f t="shared" si="0"/>
        <v>#REF!</v>
      </c>
    </row>
    <row r="48" spans="3:15" x14ac:dyDescent="0.25">
      <c r="C48" s="43"/>
      <c r="D48" s="43"/>
      <c r="E48" s="43"/>
      <c r="F48" s="43"/>
      <c r="G48" s="43"/>
      <c r="H48" s="43"/>
      <c r="I48" s="43"/>
      <c r="J48" s="43"/>
      <c r="K48" s="43"/>
      <c r="L48" s="43"/>
      <c r="M48" s="43"/>
      <c r="N48" s="43">
        <f t="shared" si="0"/>
        <v>0</v>
      </c>
      <c r="O48" s="43" t="e">
        <f t="shared" si="0"/>
        <v>#REF!</v>
      </c>
    </row>
    <row r="49" spans="3:15" x14ac:dyDescent="0.25">
      <c r="C49" s="43"/>
      <c r="D49" s="43"/>
      <c r="E49" s="43"/>
      <c r="F49" s="43"/>
      <c r="G49" s="43"/>
      <c r="H49" s="43"/>
      <c r="I49" s="43"/>
      <c r="J49" s="43"/>
      <c r="K49" s="43"/>
      <c r="L49" s="43"/>
      <c r="M49" s="43"/>
      <c r="N49" s="43">
        <f t="shared" si="0"/>
        <v>0</v>
      </c>
      <c r="O49" s="43" t="e">
        <f t="shared" si="0"/>
        <v>#REF!</v>
      </c>
    </row>
    <row r="50" spans="3:15" x14ac:dyDescent="0.25">
      <c r="C50" s="43"/>
      <c r="D50" s="43"/>
      <c r="E50" s="43"/>
      <c r="F50" s="43"/>
      <c r="G50" s="43"/>
      <c r="H50" s="43"/>
      <c r="I50" s="43"/>
      <c r="J50" s="43"/>
      <c r="K50" s="43"/>
      <c r="L50" s="43"/>
      <c r="M50" s="43"/>
      <c r="N50" s="43">
        <f t="shared" si="0"/>
        <v>0</v>
      </c>
      <c r="O50" s="43" t="e">
        <f t="shared" si="0"/>
        <v>#REF!</v>
      </c>
    </row>
    <row r="51" spans="3:15" x14ac:dyDescent="0.25">
      <c r="C51" s="43"/>
      <c r="D51" s="43"/>
      <c r="E51" s="43"/>
      <c r="F51" s="43"/>
      <c r="G51" s="43"/>
      <c r="H51" s="43"/>
      <c r="I51" s="43"/>
      <c r="J51" s="43"/>
      <c r="K51" s="43"/>
      <c r="L51" s="43"/>
      <c r="M51" s="43"/>
      <c r="N51" s="43">
        <f t="shared" si="0"/>
        <v>0</v>
      </c>
      <c r="O51" s="43" t="e">
        <f t="shared" si="0"/>
        <v>#REF!</v>
      </c>
    </row>
    <row r="52" spans="3:15" x14ac:dyDescent="0.25">
      <c r="C52" s="43"/>
      <c r="D52" s="43"/>
      <c r="E52" s="43"/>
      <c r="F52" s="43"/>
      <c r="G52" s="43"/>
      <c r="H52" s="43"/>
      <c r="I52" s="43"/>
      <c r="J52" s="43"/>
      <c r="K52" s="43"/>
      <c r="L52" s="43"/>
      <c r="M52" s="43"/>
      <c r="N52" s="43">
        <f t="shared" si="0"/>
        <v>0</v>
      </c>
      <c r="O52" s="43" t="e">
        <f t="shared" si="0"/>
        <v>#REF!</v>
      </c>
    </row>
    <row r="53" spans="3:15" x14ac:dyDescent="0.25">
      <c r="C53" s="43"/>
      <c r="D53" s="43"/>
      <c r="E53" s="43"/>
      <c r="F53" s="43"/>
      <c r="G53" s="43"/>
      <c r="H53" s="43"/>
      <c r="I53" s="43"/>
      <c r="J53" s="43"/>
      <c r="K53" s="43"/>
      <c r="L53" s="43"/>
      <c r="M53" s="43"/>
      <c r="N53" s="43" t="e">
        <f>N39/#REF!</f>
        <v>#REF!</v>
      </c>
      <c r="O53" s="43" t="e">
        <f>O39/#REF!</f>
        <v>#REF!</v>
      </c>
    </row>
    <row r="54" spans="3:15" x14ac:dyDescent="0.25">
      <c r="C54" s="43"/>
      <c r="D54" s="43"/>
      <c r="E54" s="43"/>
      <c r="F54" s="43"/>
      <c r="G54" s="43"/>
      <c r="H54" s="43"/>
      <c r="I54" s="43"/>
      <c r="J54" s="43"/>
      <c r="K54" s="43"/>
      <c r="L54" s="43"/>
      <c r="M54" s="43"/>
      <c r="N54" s="43" t="e">
        <f>#REF!/#REF!</f>
        <v>#REF!</v>
      </c>
      <c r="O54" s="43" t="e">
        <f>#REF!/#REF!</f>
        <v>#REF!</v>
      </c>
    </row>
    <row r="55" spans="3:15" x14ac:dyDescent="0.25">
      <c r="C55" s="43"/>
      <c r="D55" s="43"/>
      <c r="E55" s="43"/>
      <c r="F55" s="43"/>
      <c r="G55" s="43"/>
      <c r="H55" s="43"/>
      <c r="I55" s="43"/>
      <c r="J55" s="43"/>
      <c r="K55" s="43"/>
      <c r="L55" s="43"/>
      <c r="M55" s="43"/>
      <c r="N55" s="43" t="e">
        <f>M40/#REF!</f>
        <v>#REF!</v>
      </c>
      <c r="O55" s="43" t="e">
        <f>N40/#REF!</f>
        <v>#REF!</v>
      </c>
    </row>
    <row r="56" spans="3:15" x14ac:dyDescent="0.25">
      <c r="C56" s="43"/>
      <c r="D56" s="43"/>
      <c r="E56" s="43"/>
      <c r="F56" s="43"/>
      <c r="G56" s="43"/>
      <c r="H56" s="43"/>
      <c r="I56" s="43"/>
      <c r="J56" s="43"/>
      <c r="K56" s="43"/>
      <c r="L56" s="43"/>
      <c r="M56" s="43"/>
      <c r="N56" s="43" t="e">
        <f>M41/#REF!</f>
        <v>#REF!</v>
      </c>
      <c r="O56" s="43" t="e">
        <f>N41/#REF!</f>
        <v>#REF!</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CA8241-436B-4302-B654-A50A1B0675C2}">
  <dimension ref="A2:U24"/>
  <sheetViews>
    <sheetView workbookViewId="0">
      <selection activeCell="N10" sqref="N10"/>
    </sheetView>
  </sheetViews>
  <sheetFormatPr defaultColWidth="9.140625" defaultRowHeight="15" x14ac:dyDescent="0.25"/>
  <cols>
    <col min="1" max="1" width="14.5703125" customWidth="1"/>
    <col min="2" max="2" width="18.42578125" customWidth="1"/>
    <col min="3" max="3" width="16.85546875" customWidth="1"/>
    <col min="4" max="4" width="17.42578125" customWidth="1"/>
    <col min="5" max="6" width="20.140625" customWidth="1"/>
    <col min="7" max="7" width="21.28515625" customWidth="1"/>
    <col min="8" max="8" width="14.5703125" customWidth="1"/>
    <col min="9" max="11" width="16.28515625" customWidth="1"/>
    <col min="12" max="12" width="18.42578125" customWidth="1"/>
    <col min="15" max="15" width="16.7109375" customWidth="1"/>
    <col min="16" max="16" width="13.5703125" customWidth="1"/>
    <col min="17" max="17" width="13.85546875" customWidth="1"/>
    <col min="18" max="19" width="14.28515625" customWidth="1"/>
  </cols>
  <sheetData>
    <row r="2" spans="1:21" x14ac:dyDescent="0.25">
      <c r="A2" s="1" t="s">
        <v>23</v>
      </c>
      <c r="D2" s="109"/>
    </row>
    <row r="3" spans="1:21" x14ac:dyDescent="0.25">
      <c r="I3" s="56" t="s">
        <v>24</v>
      </c>
    </row>
    <row r="4" spans="1:21" x14ac:dyDescent="0.25">
      <c r="B4" s="1" t="s">
        <v>25</v>
      </c>
      <c r="I4" s="1" t="s">
        <v>25</v>
      </c>
      <c r="J4" s="1"/>
    </row>
    <row r="5" spans="1:21" ht="45" x14ac:dyDescent="0.25">
      <c r="A5" s="13"/>
      <c r="B5" s="2" t="s">
        <v>26</v>
      </c>
      <c r="C5" s="2" t="s">
        <v>27</v>
      </c>
      <c r="D5" s="2" t="s">
        <v>28</v>
      </c>
      <c r="E5" s="2" t="s">
        <v>29</v>
      </c>
      <c r="F5" s="2" t="s">
        <v>30</v>
      </c>
      <c r="G5" s="2" t="s">
        <v>31</v>
      </c>
      <c r="I5" s="2" t="s">
        <v>27</v>
      </c>
      <c r="J5" s="2" t="s">
        <v>28</v>
      </c>
      <c r="K5" s="2" t="s">
        <v>29</v>
      </c>
      <c r="L5" s="2" t="s">
        <v>30</v>
      </c>
    </row>
    <row r="6" spans="1:21" x14ac:dyDescent="0.25">
      <c r="A6" s="4">
        <v>1</v>
      </c>
      <c r="B6" s="23">
        <v>7.9340732905410034</v>
      </c>
      <c r="C6" s="23">
        <v>11.63015456255242</v>
      </c>
      <c r="D6" s="23">
        <v>9.7136209379478036</v>
      </c>
      <c r="E6" s="23"/>
      <c r="F6" s="23"/>
      <c r="G6" s="55"/>
      <c r="H6" s="57"/>
      <c r="I6" s="58">
        <v>3.6960812720114156</v>
      </c>
      <c r="J6" s="58">
        <v>1.7795476474068015</v>
      </c>
      <c r="K6" s="58"/>
      <c r="L6" s="58"/>
    </row>
    <row r="7" spans="1:21" x14ac:dyDescent="0.25">
      <c r="A7" s="4">
        <v>2</v>
      </c>
      <c r="B7" s="23">
        <v>10.50947241647096</v>
      </c>
      <c r="C7" s="23">
        <v>14.509595753185666</v>
      </c>
      <c r="D7" s="23">
        <v>14.465099317151118</v>
      </c>
      <c r="E7" s="23"/>
      <c r="F7" s="23"/>
      <c r="G7" s="55"/>
      <c r="H7" s="57"/>
      <c r="I7" s="58">
        <v>4.0001233367147062</v>
      </c>
      <c r="J7" s="58">
        <v>3.9556269006801572</v>
      </c>
      <c r="K7" s="58"/>
      <c r="L7" s="58"/>
    </row>
    <row r="8" spans="1:21" x14ac:dyDescent="0.25">
      <c r="A8" s="4">
        <v>3</v>
      </c>
      <c r="B8" s="23">
        <v>7.6284621585795449</v>
      </c>
      <c r="C8" s="23">
        <v>9.8786801377723954</v>
      </c>
      <c r="D8" s="23">
        <v>8.1306435521027005</v>
      </c>
      <c r="E8" s="23"/>
      <c r="F8" s="23"/>
      <c r="G8" s="55"/>
      <c r="H8" s="57"/>
      <c r="I8" s="58">
        <v>2.25021797919285</v>
      </c>
      <c r="J8" s="58">
        <v>0.50218139352315516</v>
      </c>
      <c r="K8" s="58"/>
      <c r="L8" s="58"/>
      <c r="Q8" s="159"/>
      <c r="R8" s="159"/>
      <c r="S8" s="159"/>
      <c r="T8" s="159"/>
      <c r="U8" s="159"/>
    </row>
    <row r="9" spans="1:21" x14ac:dyDescent="0.25">
      <c r="A9" s="4">
        <v>4</v>
      </c>
      <c r="B9" s="23">
        <v>6.6959999999999997</v>
      </c>
      <c r="C9" s="23">
        <v>7.9039999999999999</v>
      </c>
      <c r="D9" s="23">
        <v>7.08</v>
      </c>
      <c r="E9" s="23"/>
      <c r="F9" s="23"/>
      <c r="G9" s="55"/>
      <c r="H9" s="57"/>
      <c r="I9" s="58">
        <v>1.208</v>
      </c>
      <c r="J9" s="58">
        <v>0.38400000000000001</v>
      </c>
      <c r="K9" s="58"/>
      <c r="L9" s="58"/>
      <c r="Q9" s="160"/>
      <c r="R9" s="160"/>
      <c r="S9" s="160"/>
      <c r="T9" s="160"/>
      <c r="U9" s="160"/>
    </row>
    <row r="10" spans="1:21" x14ac:dyDescent="0.25">
      <c r="A10" s="4">
        <v>5</v>
      </c>
      <c r="B10" s="23">
        <v>10.48009148713064</v>
      </c>
      <c r="C10" s="23">
        <v>14.664908997476793</v>
      </c>
      <c r="D10" s="23">
        <v>14.355335370229295</v>
      </c>
      <c r="E10" s="23"/>
      <c r="F10" s="23"/>
      <c r="G10" s="55"/>
      <c r="H10" s="57"/>
      <c r="I10" s="58">
        <v>4.1848175103461545</v>
      </c>
      <c r="J10" s="58">
        <v>3.8752438830986558</v>
      </c>
      <c r="K10" s="58"/>
      <c r="L10" s="58"/>
      <c r="Q10" s="160"/>
      <c r="R10" s="160"/>
      <c r="S10" s="160"/>
      <c r="T10" s="160"/>
      <c r="U10" s="160"/>
    </row>
    <row r="11" spans="1:21" x14ac:dyDescent="0.25">
      <c r="A11" s="4">
        <v>6</v>
      </c>
      <c r="B11" s="23">
        <v>10.354670868290148</v>
      </c>
      <c r="C11" s="23">
        <v>14.332421305937338</v>
      </c>
      <c r="D11" s="23">
        <v>14.656469134622588</v>
      </c>
      <c r="E11" s="23"/>
      <c r="F11" s="23"/>
      <c r="G11" s="55"/>
      <c r="H11" s="57"/>
      <c r="I11" s="58">
        <v>3.9777504376471895</v>
      </c>
      <c r="J11" s="58">
        <v>4.3017982663324412</v>
      </c>
      <c r="K11" s="58"/>
      <c r="L11" s="58"/>
      <c r="Q11" s="160"/>
      <c r="R11" s="160"/>
      <c r="S11" s="160"/>
      <c r="T11" s="160"/>
      <c r="U11" s="160"/>
    </row>
    <row r="12" spans="1:21" x14ac:dyDescent="0.25">
      <c r="A12" s="4">
        <v>7</v>
      </c>
      <c r="B12" s="23">
        <v>10.551666721438973</v>
      </c>
      <c r="C12" s="23">
        <v>14.407786236176689</v>
      </c>
      <c r="D12" s="23">
        <v>14.749061960925232</v>
      </c>
      <c r="E12" s="23"/>
      <c r="F12" s="23"/>
      <c r="G12" s="55"/>
      <c r="H12" s="57"/>
      <c r="I12" s="58">
        <v>3.8561195147377174</v>
      </c>
      <c r="J12" s="58">
        <v>4.1973952394862604</v>
      </c>
      <c r="K12" s="58"/>
      <c r="L12" s="58"/>
    </row>
    <row r="13" spans="1:21" x14ac:dyDescent="0.25">
      <c r="A13" s="4">
        <v>8</v>
      </c>
      <c r="B13" s="23">
        <v>8.8744820956806496</v>
      </c>
      <c r="C13" s="23">
        <v>11.932417952189677</v>
      </c>
      <c r="D13" s="23">
        <v>11.248083160812767</v>
      </c>
      <c r="E13" s="23"/>
      <c r="F13" s="23"/>
      <c r="G13" s="55"/>
      <c r="H13" s="57"/>
      <c r="I13" s="58">
        <v>3.0579358565090282</v>
      </c>
      <c r="J13" s="58">
        <v>2.3736010651321182</v>
      </c>
      <c r="K13" s="58"/>
      <c r="L13" s="58"/>
    </row>
    <row r="14" spans="1:21" x14ac:dyDescent="0.25">
      <c r="A14" s="4">
        <v>9</v>
      </c>
      <c r="B14" s="23">
        <v>9.5946536880651294</v>
      </c>
      <c r="C14" s="23">
        <v>13.217483722642058</v>
      </c>
      <c r="D14" s="23">
        <v>12.545843928185668</v>
      </c>
      <c r="E14" s="23"/>
      <c r="F14" s="23"/>
      <c r="G14" s="55"/>
      <c r="H14" s="57"/>
      <c r="I14" s="58">
        <v>3.6228300345769293</v>
      </c>
      <c r="J14" s="58">
        <v>2.9511902401205385</v>
      </c>
      <c r="K14" s="58"/>
      <c r="L14" s="58"/>
    </row>
    <row r="15" spans="1:21" x14ac:dyDescent="0.25">
      <c r="A15" s="4">
        <v>10</v>
      </c>
      <c r="B15" s="23">
        <v>9.8232670362372545</v>
      </c>
      <c r="C15" s="23">
        <v>13.279558339909054</v>
      </c>
      <c r="D15" s="23">
        <v>13.950501118483876</v>
      </c>
      <c r="E15" s="23"/>
      <c r="F15" s="23"/>
      <c r="G15" s="55"/>
      <c r="H15" s="57"/>
      <c r="I15" s="58">
        <v>3.4562913036718004</v>
      </c>
      <c r="J15" s="58">
        <v>4.1272340822466242</v>
      </c>
      <c r="K15" s="58"/>
      <c r="L15" s="58"/>
    </row>
    <row r="16" spans="1:21" x14ac:dyDescent="0.25">
      <c r="A16" s="4">
        <v>11</v>
      </c>
      <c r="B16" s="23">
        <v>8.0328268831610981</v>
      </c>
      <c r="C16" s="23">
        <v>10.168092478434239</v>
      </c>
      <c r="D16" s="23">
        <v>9.6105599854241959</v>
      </c>
      <c r="E16" s="23"/>
      <c r="F16" s="23"/>
      <c r="G16" s="55"/>
      <c r="H16" s="57"/>
      <c r="I16" s="58">
        <v>2.1352655952731414</v>
      </c>
      <c r="J16" s="58">
        <v>1.5777331022630978</v>
      </c>
      <c r="K16" s="58"/>
      <c r="L16" s="58"/>
    </row>
    <row r="17" spans="1:17" x14ac:dyDescent="0.25">
      <c r="A17" s="4">
        <v>12</v>
      </c>
      <c r="B17" s="23">
        <v>10.857590012694613</v>
      </c>
      <c r="C17" s="23">
        <v>14.981252224928488</v>
      </c>
      <c r="D17" s="23">
        <v>14.459532708723144</v>
      </c>
      <c r="E17" s="23"/>
      <c r="F17" s="23"/>
      <c r="G17" s="55"/>
      <c r="H17" s="57"/>
      <c r="I17" s="58">
        <v>4.1236622122338762</v>
      </c>
      <c r="J17" s="58">
        <v>3.6019426960285306</v>
      </c>
      <c r="K17" s="58"/>
      <c r="L17" s="58"/>
    </row>
    <row r="18" spans="1:17" x14ac:dyDescent="0.25">
      <c r="A18" s="4">
        <v>13</v>
      </c>
      <c r="B18" s="23">
        <v>11.647295834106599</v>
      </c>
      <c r="C18" s="23">
        <v>15.940173158029294</v>
      </c>
      <c r="D18" s="23">
        <v>16.143658254242599</v>
      </c>
      <c r="E18" s="23"/>
      <c r="F18" s="23"/>
      <c r="G18" s="55"/>
      <c r="H18" s="57"/>
      <c r="I18" s="58">
        <v>4.2928773239226956</v>
      </c>
      <c r="J18" s="58">
        <v>4.4963624201360028</v>
      </c>
      <c r="K18" s="58"/>
      <c r="L18" s="58"/>
      <c r="O18" s="59" t="s">
        <v>32</v>
      </c>
      <c r="P18" s="59" t="s">
        <v>33</v>
      </c>
      <c r="Q18" s="59" t="s">
        <v>34</v>
      </c>
    </row>
    <row r="19" spans="1:17" x14ac:dyDescent="0.25">
      <c r="A19" s="4">
        <v>14</v>
      </c>
      <c r="B19" s="153">
        <v>9.1482297936070847</v>
      </c>
      <c r="C19" s="153">
        <v>12.46235170221941</v>
      </c>
      <c r="D19" s="153">
        <v>12.554289096329057</v>
      </c>
      <c r="E19" s="153">
        <v>12.257757829179768</v>
      </c>
      <c r="F19" s="153">
        <v>9.8686797497596483</v>
      </c>
      <c r="G19" s="153">
        <f t="shared" ref="G19:G22" si="0">AVERAGE(B19:F19)</f>
        <v>11.258261634218993</v>
      </c>
      <c r="H19" s="57"/>
      <c r="I19" s="147">
        <v>3.3141219086123246</v>
      </c>
      <c r="J19" s="147">
        <v>3.4060593027219728</v>
      </c>
      <c r="K19" s="147">
        <v>3.1095280355726831</v>
      </c>
      <c r="L19" s="147">
        <v>0.72044995615256435</v>
      </c>
      <c r="N19" s="1">
        <v>14</v>
      </c>
      <c r="O19" s="60">
        <v>5.8293185508612604</v>
      </c>
      <c r="P19" s="60">
        <v>6.7307045609069283</v>
      </c>
      <c r="Q19" s="60">
        <f>7.99004182636968</f>
        <v>7.99004182636968</v>
      </c>
    </row>
    <row r="20" spans="1:17" x14ac:dyDescent="0.25">
      <c r="A20" s="4">
        <v>15</v>
      </c>
      <c r="B20" s="153">
        <v>10.925653777682868</v>
      </c>
      <c r="C20" s="152">
        <v>15.046254360289639</v>
      </c>
      <c r="D20" s="152">
        <v>13.468332312167504</v>
      </c>
      <c r="E20" s="152">
        <v>14.236215502189904</v>
      </c>
      <c r="F20" s="152">
        <v>11.455548942703942</v>
      </c>
      <c r="G20" s="146">
        <f t="shared" si="0"/>
        <v>13.026400979006771</v>
      </c>
      <c r="H20" s="57"/>
      <c r="I20" s="147">
        <v>4.12</v>
      </c>
      <c r="J20" s="147">
        <v>2.542678534484637</v>
      </c>
      <c r="K20" s="147">
        <v>3.3105617245070351</v>
      </c>
      <c r="L20" s="147">
        <v>0.52989516502107481</v>
      </c>
      <c r="N20" s="1">
        <v>15</v>
      </c>
      <c r="O20" s="60">
        <v>7.7247057424811203</v>
      </c>
      <c r="P20" s="60">
        <v>8.5235127976301577</v>
      </c>
      <c r="Q20" s="60">
        <f>9.51286804235471</f>
        <v>9.5128680423547092</v>
      </c>
    </row>
    <row r="21" spans="1:17" x14ac:dyDescent="0.25">
      <c r="A21" s="4">
        <v>16</v>
      </c>
      <c r="B21" s="152">
        <v>10.846411811098964</v>
      </c>
      <c r="C21" s="152">
        <v>14.0440139927065</v>
      </c>
      <c r="D21" s="152">
        <v>13.205744723197196</v>
      </c>
      <c r="E21" s="152">
        <v>13.6443676889579</v>
      </c>
      <c r="F21" s="152">
        <v>11.485221897930192</v>
      </c>
      <c r="G21" s="146">
        <f t="shared" si="0"/>
        <v>12.645152022778149</v>
      </c>
      <c r="H21" s="57"/>
      <c r="I21" s="147">
        <v>3.2</v>
      </c>
      <c r="J21" s="147">
        <v>2.3593329120982318</v>
      </c>
      <c r="K21" s="147">
        <v>2.7979558778589357</v>
      </c>
      <c r="L21" s="147">
        <v>0.63881008683122853</v>
      </c>
      <c r="N21" s="1">
        <v>16</v>
      </c>
      <c r="O21" s="60">
        <v>7.5206018202170499</v>
      </c>
      <c r="P21" s="60">
        <v>8.3250199008500942</v>
      </c>
      <c r="Q21" s="60">
        <f>9.31477159537556</f>
        <v>9.3147715953755608</v>
      </c>
    </row>
    <row r="22" spans="1:17" x14ac:dyDescent="0.25">
      <c r="A22" s="4">
        <v>17</v>
      </c>
      <c r="B22" s="152">
        <v>10.604367254095976</v>
      </c>
      <c r="C22" s="152">
        <v>14.081251661082494</v>
      </c>
      <c r="D22" s="152">
        <v>13.703559601997096</v>
      </c>
      <c r="E22" s="152">
        <v>13.633499052102708</v>
      </c>
      <c r="F22" s="152">
        <v>11.201546779996571</v>
      </c>
      <c r="G22" s="146">
        <f t="shared" si="0"/>
        <v>12.644844869854968</v>
      </c>
      <c r="H22" s="57"/>
      <c r="I22" s="147">
        <v>3.48</v>
      </c>
      <c r="J22" s="147">
        <v>3.0991923479011207</v>
      </c>
      <c r="K22" s="147">
        <v>3.0291317980067318</v>
      </c>
      <c r="L22" s="147">
        <v>0.59717952590059498</v>
      </c>
      <c r="N22" s="1">
        <v>17</v>
      </c>
      <c r="O22" s="60">
        <v>7.2203432853921203</v>
      </c>
      <c r="P22" s="60">
        <v>8.0274790640649751</v>
      </c>
      <c r="Q22" s="60">
        <f>8.99895592015656</f>
        <v>8.9989559201565594</v>
      </c>
    </row>
    <row r="23" spans="1:17" x14ac:dyDescent="0.25">
      <c r="B23" s="27"/>
      <c r="G23" s="57"/>
    </row>
    <row r="24" spans="1:17" x14ac:dyDescent="0.25">
      <c r="B24" s="57"/>
      <c r="C24" s="27"/>
    </row>
  </sheetData>
  <pageMargins left="0.7" right="0.7" top="0.75" bottom="0.75" header="0.3" footer="0.3"/>
  <ignoredErrors>
    <ignoredError sqref="G19:G22" formulaRange="1"/>
  </ignoredErrors>
  <drawing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AD6404-E895-4070-979A-38B25256B486}">
  <dimension ref="A1:Y80"/>
  <sheetViews>
    <sheetView zoomScale="90" zoomScaleNormal="90" workbookViewId="0">
      <selection activeCell="E67" sqref="E67"/>
    </sheetView>
  </sheetViews>
  <sheetFormatPr defaultRowHeight="15" x14ac:dyDescent="0.25"/>
  <cols>
    <col min="1" max="1" width="13.42578125" customWidth="1"/>
    <col min="2" max="2" width="23" customWidth="1"/>
    <col min="3" max="13" width="15.140625" customWidth="1"/>
    <col min="23" max="25" width="13.28515625" customWidth="1"/>
    <col min="26" max="28" width="10.85546875" customWidth="1"/>
  </cols>
  <sheetData>
    <row r="1" spans="1:25" x14ac:dyDescent="0.25">
      <c r="B1" s="1" t="s">
        <v>35</v>
      </c>
    </row>
    <row r="2" spans="1:25" x14ac:dyDescent="0.25">
      <c r="A2" s="1"/>
      <c r="G2" s="109"/>
    </row>
    <row r="3" spans="1:25" x14ac:dyDescent="0.25">
      <c r="A3" s="1"/>
    </row>
    <row r="4" spans="1:25" x14ac:dyDescent="0.25">
      <c r="A4" s="1"/>
    </row>
    <row r="5" spans="1:25" x14ac:dyDescent="0.25">
      <c r="A5" s="1"/>
    </row>
    <row r="6" spans="1:25" x14ac:dyDescent="0.25">
      <c r="A6" s="1"/>
    </row>
    <row r="7" spans="1:25" x14ac:dyDescent="0.25">
      <c r="A7" s="1"/>
    </row>
    <row r="10" spans="1:25" x14ac:dyDescent="0.25">
      <c r="C10" s="1" t="s">
        <v>36</v>
      </c>
    </row>
    <row r="11" spans="1:25" x14ac:dyDescent="0.25">
      <c r="C11" s="24">
        <v>2025</v>
      </c>
      <c r="D11" s="24">
        <v>2026</v>
      </c>
      <c r="E11" s="24">
        <v>2027</v>
      </c>
      <c r="F11" s="24">
        <v>2028</v>
      </c>
      <c r="G11" s="24">
        <v>2029</v>
      </c>
      <c r="H11" s="24">
        <v>2030</v>
      </c>
      <c r="I11" s="24">
        <v>2031</v>
      </c>
      <c r="J11" s="24">
        <v>2032</v>
      </c>
      <c r="K11" s="24">
        <v>2033</v>
      </c>
      <c r="L11" s="24">
        <v>2034</v>
      </c>
      <c r="M11" s="24">
        <v>2035</v>
      </c>
    </row>
    <row r="12" spans="1:25" x14ac:dyDescent="0.25">
      <c r="B12" s="26">
        <v>1</v>
      </c>
      <c r="C12" s="30">
        <v>-2.1160684167870247</v>
      </c>
      <c r="D12" s="30">
        <v>2.0756235620203891</v>
      </c>
      <c r="E12" s="30">
        <v>9.047554648137222</v>
      </c>
      <c r="F12" s="30">
        <v>7.205831045931288</v>
      </c>
      <c r="G12" s="30">
        <v>17.27375870356893</v>
      </c>
      <c r="H12" s="30">
        <v>20.640817330511158</v>
      </c>
      <c r="I12" s="30">
        <v>23.529320898500242</v>
      </c>
      <c r="J12" s="30">
        <v>26.437945098124075</v>
      </c>
      <c r="K12" s="30">
        <v>31.773693314853393</v>
      </c>
      <c r="L12" s="30">
        <v>33.410484445392306</v>
      </c>
      <c r="M12" s="30">
        <v>38.354317018620179</v>
      </c>
      <c r="O12" s="41"/>
      <c r="P12" s="41"/>
      <c r="Q12" s="41"/>
      <c r="R12" s="41"/>
      <c r="S12" s="41"/>
      <c r="T12" s="41"/>
      <c r="U12" s="41"/>
      <c r="V12" s="41"/>
      <c r="W12" s="41"/>
      <c r="X12" s="41"/>
      <c r="Y12" s="41"/>
    </row>
    <row r="13" spans="1:25" x14ac:dyDescent="0.25">
      <c r="B13" s="26" t="s">
        <v>37</v>
      </c>
      <c r="C13" s="30">
        <v>3.3667081050712317</v>
      </c>
      <c r="D13" s="30">
        <v>10.737705223731577</v>
      </c>
      <c r="E13" s="30">
        <v>19.295205731978218</v>
      </c>
      <c r="F13" s="30">
        <v>16.499641345175611</v>
      </c>
      <c r="G13" s="30">
        <v>27.630681632657517</v>
      </c>
      <c r="H13" s="30">
        <v>30.940041942871641</v>
      </c>
      <c r="I13" s="30">
        <v>35.391852894923062</v>
      </c>
      <c r="J13" s="30">
        <v>37.162167307996022</v>
      </c>
      <c r="K13" s="30">
        <v>42.647053600140651</v>
      </c>
      <c r="L13" s="30">
        <v>47.678848554112001</v>
      </c>
      <c r="M13" s="30">
        <v>67.093149287412885</v>
      </c>
      <c r="O13" s="41"/>
      <c r="P13" s="41"/>
      <c r="Q13" s="41"/>
      <c r="R13" s="41"/>
      <c r="S13" s="41"/>
      <c r="T13" s="41"/>
      <c r="U13" s="41"/>
      <c r="V13" s="41"/>
      <c r="W13" s="41"/>
      <c r="X13" s="41"/>
      <c r="Y13" s="41"/>
    </row>
    <row r="14" spans="1:25" x14ac:dyDescent="0.25">
      <c r="B14" s="26">
        <v>3</v>
      </c>
      <c r="C14" s="30">
        <v>-2.212636646175278</v>
      </c>
      <c r="D14" s="30">
        <v>2.8425268512066197</v>
      </c>
      <c r="E14" s="30">
        <v>6.9019425234079153</v>
      </c>
      <c r="F14" s="30">
        <v>3.7112719124454019</v>
      </c>
      <c r="G14" s="30">
        <v>8.5317445113236676</v>
      </c>
      <c r="H14" s="30">
        <v>11.428992273377217</v>
      </c>
      <c r="I14" s="30">
        <v>15.157399433355563</v>
      </c>
      <c r="J14" s="30">
        <v>17.730327406410606</v>
      </c>
      <c r="K14" s="30">
        <v>24.155022050453539</v>
      </c>
      <c r="L14" s="30">
        <v>27.511098830371928</v>
      </c>
      <c r="M14" s="30">
        <v>32.636479725000271</v>
      </c>
      <c r="O14" s="41"/>
      <c r="P14" s="41"/>
      <c r="Q14" s="41"/>
      <c r="R14" s="41"/>
      <c r="S14" s="41"/>
      <c r="T14" s="41"/>
      <c r="U14" s="41"/>
      <c r="V14" s="41"/>
      <c r="W14" s="41"/>
      <c r="X14" s="41"/>
      <c r="Y14" s="41"/>
    </row>
    <row r="15" spans="1:25" x14ac:dyDescent="0.25">
      <c r="B15" s="26">
        <v>4</v>
      </c>
      <c r="C15" s="30">
        <v>-2.633</v>
      </c>
      <c r="D15" s="30">
        <v>1.141</v>
      </c>
      <c r="E15" s="30">
        <v>3.1890000000000001</v>
      </c>
      <c r="F15" s="30">
        <v>1.946</v>
      </c>
      <c r="G15" s="30">
        <v>6.1909999999999998</v>
      </c>
      <c r="H15" s="30">
        <v>7.4409999999999998</v>
      </c>
      <c r="I15" s="30">
        <v>8.8930000000000007</v>
      </c>
      <c r="J15" s="30">
        <v>11.257999999999999</v>
      </c>
      <c r="K15" s="30">
        <v>14.243</v>
      </c>
      <c r="L15" s="30">
        <v>16.888999999999999</v>
      </c>
      <c r="M15" s="30">
        <v>20.611000000000001</v>
      </c>
      <c r="O15" s="41"/>
      <c r="P15" s="41"/>
      <c r="Q15" s="41"/>
      <c r="R15" s="41"/>
      <c r="S15" s="41"/>
      <c r="T15" s="41"/>
      <c r="U15" s="41"/>
      <c r="V15" s="41"/>
      <c r="W15" s="41"/>
      <c r="X15" s="41"/>
      <c r="Y15" s="41"/>
    </row>
    <row r="16" spans="1:25" x14ac:dyDescent="0.25">
      <c r="B16" s="26">
        <v>5</v>
      </c>
      <c r="C16" s="30">
        <v>3.4380768373243615</v>
      </c>
      <c r="D16" s="30">
        <v>11.136768623208892</v>
      </c>
      <c r="E16" s="30">
        <v>19.141983127245382</v>
      </c>
      <c r="F16" s="30">
        <v>17.985109291898731</v>
      </c>
      <c r="G16" s="30">
        <v>27.836911261728162</v>
      </c>
      <c r="H16" s="30">
        <v>33.941348285757641</v>
      </c>
      <c r="I16" s="30">
        <v>36.877222260853415</v>
      </c>
      <c r="J16" s="30">
        <v>38.764356882945016</v>
      </c>
      <c r="K16" s="30">
        <v>44.71145323232993</v>
      </c>
      <c r="L16" s="30">
        <v>49.718037525872006</v>
      </c>
      <c r="M16" s="30">
        <v>68.302215704094763</v>
      </c>
      <c r="O16" s="41"/>
      <c r="P16" s="41"/>
      <c r="Q16" s="41"/>
      <c r="R16" s="41"/>
      <c r="S16" s="41"/>
      <c r="T16" s="41"/>
      <c r="U16" s="41"/>
      <c r="V16" s="41"/>
      <c r="W16" s="41"/>
      <c r="X16" s="41"/>
      <c r="Y16" s="41"/>
    </row>
    <row r="17" spans="2:25" x14ac:dyDescent="0.25">
      <c r="B17" s="26">
        <v>6</v>
      </c>
      <c r="C17" s="30">
        <v>3.8538239904354601</v>
      </c>
      <c r="D17" s="30">
        <v>9.9183496283872579</v>
      </c>
      <c r="E17" s="30">
        <v>17.926749534718233</v>
      </c>
      <c r="F17" s="30">
        <v>15.907372863815754</v>
      </c>
      <c r="G17" s="30">
        <v>27.628041044719581</v>
      </c>
      <c r="H17" s="30">
        <v>31.920029657530126</v>
      </c>
      <c r="I17" s="30">
        <v>35.742304456735063</v>
      </c>
      <c r="J17" s="30">
        <v>38.691371767410466</v>
      </c>
      <c r="K17" s="30">
        <v>46.033957015775393</v>
      </c>
      <c r="L17" s="30">
        <v>49.766384370375626</v>
      </c>
      <c r="M17" s="30">
        <v>68.116987862990243</v>
      </c>
      <c r="O17" s="41"/>
      <c r="P17" s="41"/>
      <c r="Q17" s="41"/>
      <c r="R17" s="41"/>
      <c r="S17" s="41"/>
      <c r="T17" s="41"/>
      <c r="U17" s="41"/>
      <c r="V17" s="41"/>
      <c r="W17" s="41"/>
      <c r="X17" s="41"/>
      <c r="Y17" s="41"/>
    </row>
    <row r="18" spans="2:25" x14ac:dyDescent="0.25">
      <c r="B18" s="26">
        <v>7</v>
      </c>
      <c r="C18" s="30">
        <v>3.5295462363189931</v>
      </c>
      <c r="D18" s="30">
        <v>10.178951894262619</v>
      </c>
      <c r="E18" s="30">
        <v>19.161217840894377</v>
      </c>
      <c r="F18" s="30">
        <v>17.711807658832658</v>
      </c>
      <c r="G18" s="30">
        <v>29.000966516343563</v>
      </c>
      <c r="H18" s="30">
        <v>32.694380212685488</v>
      </c>
      <c r="I18" s="30">
        <v>35.657693512968905</v>
      </c>
      <c r="J18" s="30">
        <v>39.705372745273976</v>
      </c>
      <c r="K18" s="30">
        <v>45.277606731036585</v>
      </c>
      <c r="L18" s="30">
        <v>48.091687932962508</v>
      </c>
      <c r="M18" s="30">
        <v>69.339314660092072</v>
      </c>
      <c r="O18" s="41"/>
      <c r="P18" s="41"/>
      <c r="Q18" s="41"/>
      <c r="R18" s="41"/>
      <c r="S18" s="41"/>
      <c r="T18" s="41"/>
      <c r="U18" s="41"/>
      <c r="V18" s="41"/>
      <c r="W18" s="41"/>
      <c r="X18" s="41"/>
      <c r="Y18" s="41"/>
    </row>
    <row r="19" spans="2:25" x14ac:dyDescent="0.25">
      <c r="B19" s="26">
        <v>8</v>
      </c>
      <c r="C19" s="30">
        <v>3.2008925097627645</v>
      </c>
      <c r="D19" s="30">
        <v>10.667644847349738</v>
      </c>
      <c r="E19" s="30">
        <v>17.646907864629807</v>
      </c>
      <c r="F19" s="30">
        <v>17.296588908608072</v>
      </c>
      <c r="G19" s="30">
        <v>27.535563231522879</v>
      </c>
      <c r="H19" s="30">
        <v>25.788768646944636</v>
      </c>
      <c r="I19" s="30">
        <v>24.790623742922765</v>
      </c>
      <c r="J19" s="30">
        <v>25.660891067788466</v>
      </c>
      <c r="K19" s="30">
        <v>28.524272221511445</v>
      </c>
      <c r="L19" s="30">
        <v>33.262977129834042</v>
      </c>
      <c r="M19" s="30">
        <v>43.127816932428502</v>
      </c>
      <c r="O19" s="41"/>
      <c r="P19" s="41"/>
      <c r="Q19" s="41"/>
      <c r="R19" s="41"/>
      <c r="S19" s="41"/>
      <c r="T19" s="41"/>
      <c r="U19" s="41"/>
      <c r="V19" s="41"/>
      <c r="W19" s="41"/>
      <c r="X19" s="41"/>
      <c r="Y19" s="41"/>
    </row>
    <row r="20" spans="2:25" x14ac:dyDescent="0.25">
      <c r="B20" s="26">
        <v>9</v>
      </c>
      <c r="C20" s="30">
        <v>3.20090971936646</v>
      </c>
      <c r="D20" s="30">
        <v>10.699926199628816</v>
      </c>
      <c r="E20" s="30">
        <v>19.288867709470907</v>
      </c>
      <c r="F20" s="30">
        <v>17.916392611262001</v>
      </c>
      <c r="G20" s="30">
        <v>28.246710547826609</v>
      </c>
      <c r="H20" s="30">
        <v>26.611644242160033</v>
      </c>
      <c r="I20" s="30">
        <v>27.481786452061034</v>
      </c>
      <c r="J20" s="30">
        <v>29.063551543752034</v>
      </c>
      <c r="K20" s="30">
        <v>34.200973816611445</v>
      </c>
      <c r="L20" s="30">
        <v>40.973271638071601</v>
      </c>
      <c r="M20" s="30">
        <v>54.573978757348584</v>
      </c>
      <c r="O20" s="41"/>
      <c r="P20" s="41"/>
      <c r="Q20" s="41"/>
      <c r="R20" s="41"/>
      <c r="S20" s="41"/>
      <c r="T20" s="41"/>
      <c r="U20" s="41"/>
      <c r="V20" s="41"/>
      <c r="W20" s="41"/>
      <c r="X20" s="41"/>
      <c r="Y20" s="41"/>
    </row>
    <row r="21" spans="2:25" x14ac:dyDescent="0.25">
      <c r="B21" s="26">
        <v>10</v>
      </c>
      <c r="C21" s="30">
        <v>3.20090971936646</v>
      </c>
      <c r="D21" s="30">
        <v>10.699926199628816</v>
      </c>
      <c r="E21" s="30">
        <v>19.288867709470907</v>
      </c>
      <c r="F21" s="30">
        <v>17.916392611262001</v>
      </c>
      <c r="G21" s="30">
        <v>28.246710547826609</v>
      </c>
      <c r="H21" s="30">
        <v>30.913183357218042</v>
      </c>
      <c r="I21" s="30">
        <v>34.906936596014447</v>
      </c>
      <c r="J21" s="30">
        <v>37.130711624440352</v>
      </c>
      <c r="K21" s="30">
        <v>43.721294679152344</v>
      </c>
      <c r="L21" s="30">
        <v>49.784916371025467</v>
      </c>
      <c r="M21" s="30">
        <v>55.511823959363966</v>
      </c>
      <c r="O21" s="41"/>
      <c r="P21" s="41"/>
      <c r="Q21" s="41"/>
      <c r="R21" s="41"/>
      <c r="S21" s="41"/>
      <c r="T21" s="41"/>
      <c r="U21" s="41"/>
      <c r="V21" s="41"/>
      <c r="W21" s="41"/>
      <c r="X21" s="41"/>
      <c r="Y21" s="41"/>
    </row>
    <row r="22" spans="2:25" x14ac:dyDescent="0.25">
      <c r="B22" s="26">
        <v>11</v>
      </c>
      <c r="C22" s="30">
        <v>2.448205997266379</v>
      </c>
      <c r="D22" s="30">
        <v>9.4044871175180571</v>
      </c>
      <c r="E22" s="30">
        <v>9.9550235347193201</v>
      </c>
      <c r="F22" s="30">
        <v>7.1641830859705964</v>
      </c>
      <c r="G22" s="30">
        <v>12.236429726013325</v>
      </c>
      <c r="H22" s="30">
        <v>15.085928454368464</v>
      </c>
      <c r="I22" s="30">
        <v>18.27750924172177</v>
      </c>
      <c r="J22" s="30">
        <v>20.256548450011667</v>
      </c>
      <c r="K22" s="30">
        <v>25.078341689789113</v>
      </c>
      <c r="L22" s="30">
        <v>30.809271513840457</v>
      </c>
      <c r="M22" s="30">
        <v>34.721639614770794</v>
      </c>
      <c r="O22" s="41"/>
      <c r="P22" s="41"/>
      <c r="Q22" s="41"/>
      <c r="R22" s="41"/>
      <c r="S22" s="41"/>
      <c r="T22" s="41"/>
      <c r="U22" s="41"/>
      <c r="V22" s="41"/>
      <c r="W22" s="41"/>
      <c r="X22" s="41"/>
      <c r="Y22" s="41"/>
    </row>
    <row r="23" spans="2:25" x14ac:dyDescent="0.25">
      <c r="B23" s="26">
        <v>12</v>
      </c>
      <c r="C23" s="30">
        <v>3.8601868995160165</v>
      </c>
      <c r="D23" s="30">
        <v>12.178741842132426</v>
      </c>
      <c r="E23" s="30">
        <v>20.800843691440281</v>
      </c>
      <c r="F23" s="30">
        <v>18.823293256431462</v>
      </c>
      <c r="G23" s="30">
        <v>30.504571558806337</v>
      </c>
      <c r="H23" s="30">
        <v>39.571349503675812</v>
      </c>
      <c r="I23" s="30">
        <v>42.066206534236329</v>
      </c>
      <c r="J23" s="30">
        <v>46.597524441117919</v>
      </c>
      <c r="K23" s="30">
        <v>52.660412998561661</v>
      </c>
      <c r="L23" s="30">
        <v>58.532730370591793</v>
      </c>
      <c r="M23" s="30">
        <v>74.863018506384392</v>
      </c>
      <c r="O23" s="41"/>
      <c r="P23" s="41"/>
      <c r="Q23" s="41"/>
      <c r="R23" s="41"/>
      <c r="S23" s="41"/>
      <c r="T23" s="41"/>
      <c r="U23" s="41"/>
      <c r="V23" s="41"/>
      <c r="W23" s="41"/>
      <c r="X23" s="41"/>
      <c r="Y23" s="41"/>
    </row>
    <row r="24" spans="2:25" x14ac:dyDescent="0.25">
      <c r="B24" s="26">
        <v>13</v>
      </c>
      <c r="C24" s="30">
        <v>3.3124732345818999</v>
      </c>
      <c r="D24" s="30">
        <v>12.250877153158033</v>
      </c>
      <c r="E24" s="30">
        <v>20.173909522890078</v>
      </c>
      <c r="F24" s="30">
        <v>18.964464989768782</v>
      </c>
      <c r="G24" s="30">
        <v>30.123438548171109</v>
      </c>
      <c r="H24" s="30">
        <v>38.98994987270634</v>
      </c>
      <c r="I24" s="30">
        <v>41.82835701475652</v>
      </c>
      <c r="J24" s="30">
        <v>45.267995623263147</v>
      </c>
      <c r="K24" s="30">
        <v>52.115693636364909</v>
      </c>
      <c r="L24" s="30">
        <v>57.363898374575818</v>
      </c>
      <c r="M24" s="30">
        <v>80.73441538281341</v>
      </c>
      <c r="O24" s="41"/>
      <c r="P24" s="41"/>
      <c r="Q24" s="41"/>
      <c r="R24" s="41"/>
      <c r="S24" s="41"/>
      <c r="T24" s="41"/>
      <c r="U24" s="41"/>
      <c r="V24" s="41"/>
      <c r="W24" s="41"/>
      <c r="X24" s="41"/>
      <c r="Y24" s="41"/>
    </row>
    <row r="25" spans="2:25" x14ac:dyDescent="0.25">
      <c r="B25" s="26">
        <v>14</v>
      </c>
      <c r="C25" s="148">
        <v>0.61</v>
      </c>
      <c r="D25" s="148">
        <v>9.19</v>
      </c>
      <c r="E25" s="148">
        <v>15.59</v>
      </c>
      <c r="F25" s="148">
        <v>15.11</v>
      </c>
      <c r="G25" s="148">
        <v>25.36</v>
      </c>
      <c r="H25" s="148">
        <v>29.23</v>
      </c>
      <c r="I25" s="148">
        <v>29.28</v>
      </c>
      <c r="J25" s="148">
        <v>32.51</v>
      </c>
      <c r="K25" s="148">
        <v>38.44</v>
      </c>
      <c r="L25" s="148">
        <v>44.03</v>
      </c>
      <c r="M25" s="148">
        <v>48.69</v>
      </c>
      <c r="O25" s="41"/>
      <c r="P25" s="41"/>
      <c r="Q25" s="41"/>
      <c r="R25" s="41"/>
      <c r="S25" s="41"/>
      <c r="T25" s="41"/>
      <c r="U25" s="41"/>
      <c r="V25" s="41"/>
      <c r="W25" s="41"/>
      <c r="X25" s="41"/>
      <c r="Y25" s="41"/>
    </row>
    <row r="26" spans="2:25" x14ac:dyDescent="0.25">
      <c r="B26" s="26">
        <v>15</v>
      </c>
      <c r="C26" s="148">
        <v>1.0805506669964786</v>
      </c>
      <c r="D26" s="148">
        <v>9.6880337027702446</v>
      </c>
      <c r="E26" s="148">
        <v>18.546428126504406</v>
      </c>
      <c r="F26" s="148">
        <v>17.014375401458157</v>
      </c>
      <c r="G26" s="148">
        <v>29.709359788144383</v>
      </c>
      <c r="H26" s="148">
        <v>39.306084223084781</v>
      </c>
      <c r="I26" s="148">
        <v>40.337565540311068</v>
      </c>
      <c r="J26" s="148">
        <v>45.163556672697304</v>
      </c>
      <c r="K26" s="148">
        <v>51.802225788896656</v>
      </c>
      <c r="L26" s="148">
        <v>57.706986474765053</v>
      </c>
      <c r="M26" s="148">
        <v>75.176700988561976</v>
      </c>
      <c r="O26" s="41"/>
      <c r="P26" s="41"/>
      <c r="Q26" s="41"/>
      <c r="R26" s="41"/>
      <c r="S26" s="41"/>
      <c r="T26" s="41"/>
      <c r="U26" s="41"/>
      <c r="V26" s="41"/>
      <c r="W26" s="41"/>
      <c r="X26" s="41"/>
      <c r="Y26" s="41"/>
    </row>
    <row r="27" spans="2:25" x14ac:dyDescent="0.25">
      <c r="B27" s="26">
        <v>16</v>
      </c>
      <c r="C27" s="148">
        <v>1.0805506669964786</v>
      </c>
      <c r="D27" s="148">
        <v>9.6880337027702446</v>
      </c>
      <c r="E27" s="148">
        <v>18.546428126504406</v>
      </c>
      <c r="F27" s="148">
        <v>17.014375401458157</v>
      </c>
      <c r="G27" s="148">
        <v>29.709359788144383</v>
      </c>
      <c r="H27" s="148">
        <v>39.306084223084781</v>
      </c>
      <c r="I27" s="148">
        <v>40.337565540311068</v>
      </c>
      <c r="J27" s="148">
        <v>45.163556672697304</v>
      </c>
      <c r="K27" s="148">
        <v>51.549758185591791</v>
      </c>
      <c r="L27" s="148">
        <v>57.671235627883505</v>
      </c>
      <c r="M27" s="148">
        <v>69.551460092076269</v>
      </c>
    </row>
    <row r="28" spans="2:25" x14ac:dyDescent="0.25">
      <c r="B28" s="26">
        <v>17</v>
      </c>
      <c r="C28" s="148">
        <v>1.0805506669964786</v>
      </c>
      <c r="D28" s="148">
        <v>9.6336760809767057</v>
      </c>
      <c r="E28" s="148">
        <v>18.488535028419562</v>
      </c>
      <c r="F28" s="148">
        <v>16.960448224505601</v>
      </c>
      <c r="G28" s="148">
        <v>29.655387383446747</v>
      </c>
      <c r="H28" s="148">
        <v>39.252177417809285</v>
      </c>
      <c r="I28" s="148">
        <v>42.495923587031797</v>
      </c>
      <c r="J28" s="148">
        <v>47.459853074747826</v>
      </c>
      <c r="K28" s="148">
        <v>53.938969938093521</v>
      </c>
      <c r="L28" s="148">
        <v>60.196142622667942</v>
      </c>
      <c r="M28" s="148">
        <v>66.968498773821935</v>
      </c>
    </row>
    <row r="29" spans="2:25" x14ac:dyDescent="0.25">
      <c r="B29" s="26" t="s">
        <v>38</v>
      </c>
      <c r="C29" s="30">
        <v>15.073005679737044</v>
      </c>
      <c r="D29" s="30">
        <v>17.19766579333178</v>
      </c>
      <c r="E29" s="30">
        <v>19.364819109198422</v>
      </c>
      <c r="F29" s="30">
        <v>21.575315491382369</v>
      </c>
      <c r="G29" s="30">
        <v>23.830021801210027</v>
      </c>
      <c r="H29" s="30">
        <v>26.129822237234244</v>
      </c>
      <c r="I29" s="30">
        <v>28.475618681978901</v>
      </c>
      <c r="J29" s="30">
        <v>30.868331055618484</v>
      </c>
      <c r="K29" s="30">
        <v>33.308897676730851</v>
      </c>
      <c r="L29" s="30">
        <v>35.798275630265472</v>
      </c>
      <c r="M29" s="30">
        <v>38.337441142870802</v>
      </c>
    </row>
    <row r="53" spans="2:6" ht="90" x14ac:dyDescent="0.25">
      <c r="C53" s="24" t="s">
        <v>39</v>
      </c>
      <c r="D53" s="157" t="s">
        <v>40</v>
      </c>
      <c r="E53" s="24" t="s">
        <v>41</v>
      </c>
      <c r="F53" s="111"/>
    </row>
    <row r="54" spans="2:6" x14ac:dyDescent="0.25">
      <c r="B54" s="32">
        <v>1</v>
      </c>
      <c r="C54" s="33">
        <v>3.7999999999999999E-2</v>
      </c>
      <c r="D54" s="158">
        <v>0.05</v>
      </c>
      <c r="E54" s="25">
        <v>3.6564022402966877E-2</v>
      </c>
      <c r="F54" s="79"/>
    </row>
    <row r="55" spans="2:6" x14ac:dyDescent="0.25">
      <c r="B55" s="32">
        <v>2</v>
      </c>
      <c r="C55" s="31">
        <v>3.7999999999999999E-2</v>
      </c>
      <c r="D55" s="158">
        <v>0.05</v>
      </c>
      <c r="E55" s="25">
        <v>4.4677467550194652E-2</v>
      </c>
      <c r="F55" s="79"/>
    </row>
    <row r="56" spans="2:6" x14ac:dyDescent="0.25">
      <c r="B56" s="32">
        <v>3</v>
      </c>
      <c r="C56" s="31">
        <v>3.7999999999999999E-2</v>
      </c>
      <c r="D56" s="158">
        <v>0.05</v>
      </c>
      <c r="E56" s="25">
        <v>3.4949782867808914E-2</v>
      </c>
      <c r="F56" s="79"/>
    </row>
    <row r="57" spans="2:6" x14ac:dyDescent="0.25">
      <c r="B57" s="32">
        <v>4</v>
      </c>
      <c r="C57" s="31">
        <v>3.7999999999999999E-2</v>
      </c>
      <c r="D57" s="158">
        <v>0.05</v>
      </c>
      <c r="E57" s="25">
        <v>3.1554930813570588E-2</v>
      </c>
      <c r="F57" s="79"/>
    </row>
    <row r="58" spans="2:6" x14ac:dyDescent="0.25">
      <c r="B58" s="32">
        <v>5</v>
      </c>
      <c r="C58" s="31">
        <v>3.7999999999999999E-2</v>
      </c>
      <c r="D58" s="158">
        <v>0.05</v>
      </c>
      <c r="E58" s="25">
        <v>4.5018806890615798E-2</v>
      </c>
      <c r="F58" s="79"/>
    </row>
    <row r="59" spans="2:6" x14ac:dyDescent="0.25">
      <c r="B59" s="32">
        <v>6</v>
      </c>
      <c r="C59" s="31">
        <v>3.7999999999999999E-2</v>
      </c>
      <c r="D59" s="158">
        <v>0.05</v>
      </c>
      <c r="E59" s="25">
        <v>4.4966514023790698E-2</v>
      </c>
      <c r="F59" s="79"/>
    </row>
    <row r="60" spans="2:6" x14ac:dyDescent="0.25">
      <c r="B60" s="32">
        <v>7</v>
      </c>
      <c r="C60" s="31">
        <v>3.7999999999999999E-2</v>
      </c>
      <c r="D60" s="158">
        <v>0.05</v>
      </c>
      <c r="E60" s="25">
        <v>4.5311596987757941E-2</v>
      </c>
      <c r="F60" s="79"/>
    </row>
    <row r="61" spans="2:6" x14ac:dyDescent="0.25">
      <c r="B61" s="32">
        <v>8</v>
      </c>
      <c r="C61" s="31">
        <v>3.7999999999999999E-2</v>
      </c>
      <c r="D61" s="158">
        <v>0.05</v>
      </c>
      <c r="E61" s="25">
        <v>3.7911659960009732E-2</v>
      </c>
      <c r="F61" s="79"/>
    </row>
    <row r="62" spans="2:6" x14ac:dyDescent="0.25">
      <c r="B62" s="32">
        <v>9</v>
      </c>
      <c r="C62" s="31">
        <v>3.7999999999999999E-2</v>
      </c>
      <c r="D62" s="158">
        <v>0.05</v>
      </c>
      <c r="E62" s="25">
        <v>4.1143099750053889E-2</v>
      </c>
      <c r="F62" s="79"/>
    </row>
    <row r="63" spans="2:6" x14ac:dyDescent="0.25">
      <c r="B63" s="32">
        <v>10</v>
      </c>
      <c r="C63" s="31">
        <v>3.7999999999999999E-2</v>
      </c>
      <c r="D63" s="158">
        <v>0.05</v>
      </c>
      <c r="E63" s="25">
        <v>4.1407868879570854E-2</v>
      </c>
      <c r="F63" s="79"/>
    </row>
    <row r="64" spans="2:6" x14ac:dyDescent="0.25">
      <c r="B64" s="32">
        <v>11</v>
      </c>
      <c r="C64" s="31">
        <v>3.7999999999999999E-2</v>
      </c>
      <c r="D64" s="158">
        <v>0.05</v>
      </c>
      <c r="E64" s="25">
        <v>3.5538457808760637E-2</v>
      </c>
      <c r="F64" s="79"/>
    </row>
    <row r="65" spans="2:9" x14ac:dyDescent="0.25">
      <c r="B65" s="32">
        <v>12</v>
      </c>
      <c r="C65" s="31">
        <v>3.7999999999999999E-2</v>
      </c>
      <c r="D65" s="158">
        <v>0.05</v>
      </c>
      <c r="E65" s="25">
        <v>4.6871029456943172E-2</v>
      </c>
      <c r="F65" s="79"/>
    </row>
    <row r="66" spans="2:9" x14ac:dyDescent="0.25">
      <c r="B66" s="32">
        <v>13</v>
      </c>
      <c r="C66" s="31">
        <v>3.7999999999999999E-2</v>
      </c>
      <c r="D66" s="158">
        <v>0.05</v>
      </c>
      <c r="E66" s="25">
        <v>4.8528621388618159E-2</v>
      </c>
      <c r="F66" s="79"/>
    </row>
    <row r="67" spans="2:9" x14ac:dyDescent="0.25">
      <c r="B67" s="32">
        <v>14</v>
      </c>
      <c r="C67" s="31">
        <v>3.7999999999999999E-2</v>
      </c>
      <c r="D67" s="158">
        <v>0.05</v>
      </c>
      <c r="E67" s="25">
        <v>3.9478003316082727E-2</v>
      </c>
      <c r="F67" s="79"/>
    </row>
    <row r="68" spans="2:9" x14ac:dyDescent="0.25">
      <c r="B68" s="32">
        <v>15</v>
      </c>
      <c r="C68" s="31">
        <v>3.7999999999999999E-2</v>
      </c>
      <c r="D68" s="158">
        <v>0.05</v>
      </c>
      <c r="E68" s="25">
        <v>4.6959587182218522E-2</v>
      </c>
      <c r="F68" s="79"/>
    </row>
    <row r="69" spans="2:9" x14ac:dyDescent="0.25">
      <c r="B69" s="32">
        <v>16</v>
      </c>
      <c r="C69" s="31">
        <v>3.7999999999999999E-2</v>
      </c>
      <c r="D69" s="158">
        <v>0.05</v>
      </c>
      <c r="E69" s="25">
        <v>4.5371489133323915E-2</v>
      </c>
      <c r="F69" s="79"/>
    </row>
    <row r="70" spans="2:9" x14ac:dyDescent="0.25">
      <c r="B70" s="32">
        <v>17</v>
      </c>
      <c r="C70" s="31">
        <v>3.7999999999999999E-2</v>
      </c>
      <c r="D70" s="158">
        <v>0.05</v>
      </c>
      <c r="E70" s="25">
        <v>4.4642276659516318E-2</v>
      </c>
      <c r="F70" s="79"/>
    </row>
    <row r="74" spans="2:9" x14ac:dyDescent="0.25">
      <c r="B74" s="1" t="s">
        <v>42</v>
      </c>
    </row>
    <row r="75" spans="2:9" x14ac:dyDescent="0.25">
      <c r="B75" s="13" t="s">
        <v>43</v>
      </c>
      <c r="C75" s="40" t="s">
        <v>44</v>
      </c>
      <c r="D75" s="40" t="s">
        <v>45</v>
      </c>
      <c r="E75" s="37"/>
      <c r="F75" s="37"/>
      <c r="G75" s="37"/>
      <c r="H75" s="37"/>
      <c r="I75" s="38"/>
    </row>
    <row r="76" spans="2:9" ht="30" x14ac:dyDescent="0.25">
      <c r="B76" s="34" t="s">
        <v>46</v>
      </c>
      <c r="C76" s="35">
        <v>1.1759999999999999</v>
      </c>
      <c r="D76" s="37" t="s">
        <v>47</v>
      </c>
      <c r="E76" s="37"/>
      <c r="F76" s="37"/>
      <c r="G76" s="37"/>
      <c r="H76" s="37"/>
      <c r="I76" s="38"/>
    </row>
    <row r="77" spans="2:9" ht="30" x14ac:dyDescent="0.25">
      <c r="B77" s="34" t="s">
        <v>48</v>
      </c>
      <c r="C77" s="36">
        <v>30000</v>
      </c>
      <c r="D77" s="37" t="s">
        <v>49</v>
      </c>
      <c r="E77" s="37"/>
      <c r="F77" s="37"/>
      <c r="G77" s="39" t="s">
        <v>50</v>
      </c>
      <c r="H77" s="37"/>
      <c r="I77" s="38"/>
    </row>
    <row r="78" spans="2:9" ht="45" x14ac:dyDescent="0.25">
      <c r="B78" s="34" t="s">
        <v>51</v>
      </c>
      <c r="C78" s="47">
        <f>C80/C79</f>
        <v>0.76115119711380785</v>
      </c>
      <c r="D78" s="37" t="s">
        <v>52</v>
      </c>
      <c r="E78" s="37"/>
      <c r="F78" s="37"/>
      <c r="G78" s="37"/>
      <c r="H78" s="37"/>
      <c r="I78" s="38"/>
    </row>
    <row r="79" spans="2:9" ht="30" x14ac:dyDescent="0.25">
      <c r="B79" s="34" t="s">
        <v>53</v>
      </c>
      <c r="C79" s="30">
        <v>121.96</v>
      </c>
      <c r="D79" s="37" t="s">
        <v>54</v>
      </c>
      <c r="E79" s="37"/>
      <c r="F79" s="37"/>
      <c r="G79" s="37"/>
      <c r="H79" s="37"/>
      <c r="I79" s="38"/>
    </row>
    <row r="80" spans="2:9" x14ac:dyDescent="0.25">
      <c r="B80" s="34" t="s">
        <v>55</v>
      </c>
      <c r="C80" s="30">
        <v>92.83</v>
      </c>
      <c r="D80" s="37" t="s">
        <v>54</v>
      </c>
      <c r="E80" s="37"/>
      <c r="F80" s="37"/>
      <c r="G80" s="37"/>
      <c r="H80" s="37"/>
      <c r="I80" s="38"/>
    </row>
  </sheetData>
  <hyperlinks>
    <hyperlink ref="G77" r:id="rId1" display="https://gcc02.safelinks.protection.outlook.com/?url=https%3A%2F%2Fwww.austintexas.gov%2Fsites%2Fdefault%2Ffiles%2Ffiles%2FNSU%2F2023%2520Federal%2520Poverty%2520Guidelines.pdf&amp;data=05%7C02%7CMatthew.Russell%40austinenergy.com%7Cf40c620604e34fcada5c08dcd1b73264%7C482dc10d91804c99816e70ee2557afd5%7C0%7C0%7C638615831985555694%7CUnknown%7CTWFpbGZsb3d8eyJWIjoiMC4wLjAwMDAiLCJQIjoiV2luMzIiLCJBTiI6Ik1haWwiLCJXVCI6Mn0%3D%7C4000%7C%7C%7C&amp;sdata=HCygp9EAgLIjb9isnpJdbrI%2BK1G07IUZj4%2BNqSBdSAU%3D&amp;reserved=0" xr:uid="{2440AC8A-D8F7-44BB-A135-904AA9A0A20C}"/>
  </hyperlinks>
  <pageMargins left="0.7" right="0.7" top="0.75" bottom="0.75" header="0.3" footer="0.3"/>
  <pageSetup orientation="portrait" r:id="rId2"/>
  <drawing r:id="rId3"/>
  <legacy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41F0B4-223E-4B9D-8B10-7B334B52C713}">
  <dimension ref="B1:F24"/>
  <sheetViews>
    <sheetView topLeftCell="A18" workbookViewId="0">
      <selection activeCell="C42" sqref="C42"/>
    </sheetView>
  </sheetViews>
  <sheetFormatPr defaultColWidth="9.140625" defaultRowHeight="15" x14ac:dyDescent="0.25"/>
  <cols>
    <col min="2" max="2" width="41" customWidth="1"/>
    <col min="3" max="3" width="12" customWidth="1"/>
    <col min="4" max="6" width="17.42578125" customWidth="1"/>
  </cols>
  <sheetData>
    <row r="1" spans="2:6" x14ac:dyDescent="0.25">
      <c r="B1" s="1" t="s">
        <v>56</v>
      </c>
      <c r="D1" s="109"/>
    </row>
    <row r="4" spans="2:6" ht="15.75" thickBot="1" x14ac:dyDescent="0.3">
      <c r="C4" s="61"/>
      <c r="D4" s="61"/>
      <c r="E4" s="61"/>
      <c r="F4" s="61"/>
    </row>
    <row r="5" spans="2:6" ht="60.75" thickBot="1" x14ac:dyDescent="0.3">
      <c r="B5" s="62" t="s">
        <v>57</v>
      </c>
      <c r="C5" s="63" t="s">
        <v>58</v>
      </c>
      <c r="D5" s="63" t="s">
        <v>59</v>
      </c>
      <c r="E5" s="63" t="s">
        <v>60</v>
      </c>
      <c r="F5" s="63" t="s">
        <v>61</v>
      </c>
    </row>
    <row r="6" spans="2:6" x14ac:dyDescent="0.25">
      <c r="B6" s="100" t="s">
        <v>62</v>
      </c>
      <c r="C6" s="64">
        <v>1</v>
      </c>
      <c r="D6" s="64">
        <v>1381.564414903514</v>
      </c>
      <c r="E6" s="64">
        <v>1093.3340209442185</v>
      </c>
      <c r="F6" s="64">
        <v>523.10798042504723</v>
      </c>
    </row>
    <row r="7" spans="2:6" x14ac:dyDescent="0.25">
      <c r="B7" s="101" t="s">
        <v>63</v>
      </c>
      <c r="C7" s="66">
        <f>C6+1</f>
        <v>2</v>
      </c>
      <c r="D7" s="66">
        <v>1684.7717052546664</v>
      </c>
      <c r="E7" s="66">
        <v>1278.1305085788722</v>
      </c>
      <c r="F7" s="105">
        <v>531.17308736343944</v>
      </c>
    </row>
    <row r="8" spans="2:6" x14ac:dyDescent="0.25">
      <c r="B8" s="102" t="s">
        <v>64</v>
      </c>
      <c r="C8" s="65">
        <f t="shared" ref="C8:C21" si="0">C7+1</f>
        <v>3</v>
      </c>
      <c r="D8" s="65">
        <v>526.54100203138307</v>
      </c>
      <c r="E8" s="65">
        <v>553.54447398198363</v>
      </c>
      <c r="F8" s="106">
        <v>292.82172381386471</v>
      </c>
    </row>
    <row r="9" spans="2:6" x14ac:dyDescent="0.25">
      <c r="B9" s="101" t="s">
        <v>65</v>
      </c>
      <c r="C9" s="66">
        <f t="shared" si="0"/>
        <v>4</v>
      </c>
      <c r="D9" s="66">
        <v>481.71508883252159</v>
      </c>
      <c r="E9" s="66">
        <v>522.933016297687</v>
      </c>
      <c r="F9" s="105">
        <v>298.98929762094451</v>
      </c>
    </row>
    <row r="10" spans="2:6" x14ac:dyDescent="0.25">
      <c r="B10" s="102" t="s">
        <v>66</v>
      </c>
      <c r="C10" s="65">
        <f t="shared" si="0"/>
        <v>5</v>
      </c>
      <c r="D10" s="65">
        <v>1657.2863727599597</v>
      </c>
      <c r="E10" s="65">
        <v>1261.6197187089581</v>
      </c>
      <c r="F10" s="106">
        <v>514.22914732598167</v>
      </c>
    </row>
    <row r="11" spans="2:6" ht="30" x14ac:dyDescent="0.25">
      <c r="B11" s="101" t="s">
        <v>67</v>
      </c>
      <c r="C11" s="66">
        <f t="shared" si="0"/>
        <v>6</v>
      </c>
      <c r="D11" s="66">
        <v>1642.726397033834</v>
      </c>
      <c r="E11" s="66">
        <v>1232.5592058112561</v>
      </c>
      <c r="F11" s="105">
        <v>557.24643676693654</v>
      </c>
    </row>
    <row r="12" spans="2:6" ht="30" x14ac:dyDescent="0.25">
      <c r="B12" s="102" t="s">
        <v>68</v>
      </c>
      <c r="C12" s="65">
        <f t="shared" si="0"/>
        <v>7</v>
      </c>
      <c r="D12" s="65">
        <v>1445.3433813429574</v>
      </c>
      <c r="E12" s="65">
        <v>1119.1674274977829</v>
      </c>
      <c r="F12" s="106">
        <v>465.63854204767335</v>
      </c>
    </row>
    <row r="13" spans="2:6" x14ac:dyDescent="0.25">
      <c r="B13" s="101" t="s">
        <v>69</v>
      </c>
      <c r="C13" s="66">
        <f t="shared" si="0"/>
        <v>8</v>
      </c>
      <c r="D13" s="66">
        <v>653.01269037798863</v>
      </c>
      <c r="E13" s="66">
        <v>516.96670568001991</v>
      </c>
      <c r="F13" s="105">
        <v>186.51892445714896</v>
      </c>
    </row>
    <row r="14" spans="2:6" x14ac:dyDescent="0.25">
      <c r="B14" s="102" t="s">
        <v>70</v>
      </c>
      <c r="C14" s="65">
        <f t="shared" si="0"/>
        <v>9</v>
      </c>
      <c r="D14" s="65">
        <v>960.49379678571768</v>
      </c>
      <c r="E14" s="65">
        <v>757.10633621079319</v>
      </c>
      <c r="F14" s="106">
        <v>305.75206581652401</v>
      </c>
    </row>
    <row r="15" spans="2:6" x14ac:dyDescent="0.25">
      <c r="B15" s="101" t="s">
        <v>71</v>
      </c>
      <c r="C15" s="66">
        <f t="shared" si="0"/>
        <v>10</v>
      </c>
      <c r="D15" s="66">
        <v>608.36104624550637</v>
      </c>
      <c r="E15" s="66">
        <v>610.24081184555382</v>
      </c>
      <c r="F15" s="105">
        <v>329.17140084320124</v>
      </c>
    </row>
    <row r="16" spans="2:6" x14ac:dyDescent="0.25">
      <c r="B16" s="102" t="s">
        <v>72</v>
      </c>
      <c r="C16" s="65">
        <f t="shared" si="0"/>
        <v>11</v>
      </c>
      <c r="D16" s="65">
        <v>444.98708421319259</v>
      </c>
      <c r="E16" s="65">
        <v>463.4535569879547</v>
      </c>
      <c r="F16" s="106">
        <v>238.84071351224259</v>
      </c>
    </row>
    <row r="17" spans="2:6" x14ac:dyDescent="0.25">
      <c r="B17" s="101" t="s">
        <v>73</v>
      </c>
      <c r="C17" s="66">
        <f t="shared" si="0"/>
        <v>12</v>
      </c>
      <c r="D17" s="66">
        <v>1111.1440516257251</v>
      </c>
      <c r="E17" s="66">
        <v>921.59357559142552</v>
      </c>
      <c r="F17" s="105">
        <v>280.95535950019348</v>
      </c>
    </row>
    <row r="18" spans="2:6" ht="15.75" thickBot="1" x14ac:dyDescent="0.3">
      <c r="B18" s="102" t="s">
        <v>74</v>
      </c>
      <c r="C18" s="65">
        <f t="shared" si="0"/>
        <v>13</v>
      </c>
      <c r="D18" s="65">
        <v>1312.7235610342636</v>
      </c>
      <c r="E18" s="65">
        <v>1053.0605680119349</v>
      </c>
      <c r="F18" s="106">
        <v>325.80872803390434</v>
      </c>
    </row>
    <row r="19" spans="2:6" ht="20.25" customHeight="1" x14ac:dyDescent="0.25">
      <c r="B19" s="103" t="s">
        <v>75</v>
      </c>
      <c r="C19" s="67">
        <f t="shared" si="0"/>
        <v>14</v>
      </c>
      <c r="D19" s="67">
        <v>475.01077566996776</v>
      </c>
      <c r="E19" s="67">
        <v>443.79113137118895</v>
      </c>
      <c r="F19" s="67">
        <v>274.30860205954491</v>
      </c>
    </row>
    <row r="20" spans="2:6" ht="20.25" customHeight="1" x14ac:dyDescent="0.25">
      <c r="B20" s="102" t="s">
        <v>76</v>
      </c>
      <c r="C20" s="65">
        <f t="shared" si="0"/>
        <v>15</v>
      </c>
      <c r="D20" s="65">
        <v>1040.2368581269184</v>
      </c>
      <c r="E20" s="65">
        <v>879.12184092141649</v>
      </c>
      <c r="F20" s="106">
        <v>228.09700657377385</v>
      </c>
    </row>
    <row r="21" spans="2:6" ht="20.25" customHeight="1" x14ac:dyDescent="0.25">
      <c r="B21" s="101" t="s">
        <v>77</v>
      </c>
      <c r="C21" s="66">
        <f t="shared" si="0"/>
        <v>16</v>
      </c>
      <c r="D21" s="66">
        <v>256.31439275547166</v>
      </c>
      <c r="E21" s="66">
        <v>290.11008962937473</v>
      </c>
      <c r="F21" s="105">
        <v>64.722750724907215</v>
      </c>
    </row>
    <row r="22" spans="2:6" ht="20.25" customHeight="1" thickBot="1" x14ac:dyDescent="0.3">
      <c r="B22" s="104" t="s">
        <v>78</v>
      </c>
      <c r="C22" s="68">
        <v>17</v>
      </c>
      <c r="D22" s="68">
        <v>284.89252063100065</v>
      </c>
      <c r="E22" s="68">
        <v>311.59663932086619</v>
      </c>
      <c r="F22" s="68">
        <v>117.6622869759036</v>
      </c>
    </row>
    <row r="24" spans="2:6" x14ac:dyDescent="0.25">
      <c r="C24" s="56"/>
      <c r="D24" s="56"/>
      <c r="E24" s="56"/>
      <c r="F24" s="56"/>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F8BC3A-4D48-418F-94E5-EEBFF31265E2}">
  <dimension ref="B1:M21"/>
  <sheetViews>
    <sheetView zoomScale="90" zoomScaleNormal="90" workbookViewId="0">
      <selection activeCell="A3" sqref="A3"/>
    </sheetView>
  </sheetViews>
  <sheetFormatPr defaultRowHeight="15" x14ac:dyDescent="0.25"/>
  <cols>
    <col min="2" max="2" width="49.85546875" customWidth="1"/>
  </cols>
  <sheetData>
    <row r="1" spans="2:13" x14ac:dyDescent="0.25">
      <c r="B1" s="1" t="s">
        <v>79</v>
      </c>
    </row>
    <row r="4" spans="2:13" ht="15.75" x14ac:dyDescent="0.25">
      <c r="B4" s="170"/>
      <c r="C4" s="170"/>
      <c r="D4" s="170"/>
      <c r="E4" s="170"/>
      <c r="F4" s="170"/>
      <c r="G4" s="170"/>
      <c r="H4" s="170"/>
      <c r="I4" s="170"/>
      <c r="J4" s="170"/>
      <c r="K4" s="170"/>
      <c r="L4" s="170"/>
      <c r="M4" s="170"/>
    </row>
    <row r="5" spans="2:13" ht="15.75" x14ac:dyDescent="0.25">
      <c r="B5" s="170"/>
      <c r="C5" s="170"/>
      <c r="D5" s="170"/>
      <c r="E5" s="170"/>
      <c r="F5" s="170"/>
      <c r="G5" s="170"/>
      <c r="H5" s="170"/>
      <c r="I5" s="170"/>
      <c r="J5" s="170"/>
      <c r="K5" s="170"/>
      <c r="L5" s="170"/>
      <c r="M5" s="170"/>
    </row>
    <row r="6" spans="2:13" ht="16.5" thickBot="1" x14ac:dyDescent="0.3">
      <c r="B6" s="167" t="s">
        <v>80</v>
      </c>
      <c r="C6" s="168">
        <v>2025</v>
      </c>
      <c r="D6" s="168">
        <v>2026</v>
      </c>
      <c r="E6" s="168">
        <v>2027</v>
      </c>
      <c r="F6" s="168">
        <v>2028</v>
      </c>
      <c r="G6" s="168">
        <v>2029</v>
      </c>
      <c r="H6" s="168">
        <v>2030</v>
      </c>
      <c r="I6" s="168">
        <v>2031</v>
      </c>
      <c r="J6" s="168">
        <v>2032</v>
      </c>
      <c r="K6" s="168">
        <v>2033</v>
      </c>
      <c r="L6" s="168">
        <v>2034</v>
      </c>
      <c r="M6" s="168">
        <v>2035</v>
      </c>
    </row>
    <row r="7" spans="2:13" ht="16.5" thickBot="1" x14ac:dyDescent="0.3">
      <c r="B7" s="169" t="s">
        <v>81</v>
      </c>
      <c r="C7" s="171">
        <v>0</v>
      </c>
      <c r="D7" s="171">
        <v>0.01</v>
      </c>
      <c r="E7" s="171">
        <v>0.03</v>
      </c>
      <c r="F7" s="171">
        <v>0.04</v>
      </c>
      <c r="G7" s="171">
        <v>0.04</v>
      </c>
      <c r="H7" s="171">
        <v>0.05</v>
      </c>
      <c r="I7" s="171">
        <v>7.0000000000000007E-2</v>
      </c>
      <c r="J7" s="171">
        <v>0.09</v>
      </c>
      <c r="K7" s="171">
        <v>0.1</v>
      </c>
      <c r="L7" s="171">
        <v>0.1</v>
      </c>
      <c r="M7" s="171">
        <v>0.1</v>
      </c>
    </row>
    <row r="8" spans="2:13" ht="16.5" thickBot="1" x14ac:dyDescent="0.3">
      <c r="B8" s="169" t="s">
        <v>82</v>
      </c>
      <c r="C8" s="171">
        <v>0</v>
      </c>
      <c r="D8" s="171">
        <v>0</v>
      </c>
      <c r="E8" s="171">
        <v>0</v>
      </c>
      <c r="F8" s="171">
        <v>0</v>
      </c>
      <c r="G8" s="171">
        <v>0</v>
      </c>
      <c r="H8" s="171">
        <v>0</v>
      </c>
      <c r="I8" s="171">
        <v>0</v>
      </c>
      <c r="J8" s="171">
        <v>0</v>
      </c>
      <c r="K8" s="171">
        <v>0</v>
      </c>
      <c r="L8" s="171">
        <v>0</v>
      </c>
      <c r="M8" s="171">
        <v>0</v>
      </c>
    </row>
    <row r="9" spans="2:13" ht="16.5" thickBot="1" x14ac:dyDescent="0.3">
      <c r="B9" s="169" t="s">
        <v>83</v>
      </c>
      <c r="C9" s="172"/>
      <c r="D9" s="172"/>
      <c r="E9" s="171">
        <v>0.05</v>
      </c>
      <c r="F9" s="171">
        <v>0.06</v>
      </c>
      <c r="G9" s="171">
        <v>7.0000000000000007E-2</v>
      </c>
      <c r="H9" s="171">
        <v>7.0000000000000007E-2</v>
      </c>
      <c r="I9" s="171">
        <v>0.09</v>
      </c>
      <c r="J9" s="171">
        <v>0.11</v>
      </c>
      <c r="K9" s="171">
        <v>0.13</v>
      </c>
      <c r="L9" s="171">
        <v>0.12</v>
      </c>
      <c r="M9" s="171">
        <v>0.12</v>
      </c>
    </row>
    <row r="10" spans="2:13" ht="15.75" x14ac:dyDescent="0.25">
      <c r="B10" s="170"/>
      <c r="C10" s="170"/>
      <c r="D10" s="170"/>
      <c r="E10" s="170"/>
      <c r="F10" s="170"/>
      <c r="G10" s="170"/>
      <c r="H10" s="170"/>
      <c r="I10" s="170"/>
      <c r="J10" s="170"/>
      <c r="K10" s="170"/>
      <c r="L10" s="170"/>
      <c r="M10" s="170"/>
    </row>
    <row r="11" spans="2:13" ht="16.5" thickBot="1" x14ac:dyDescent="0.3">
      <c r="B11" s="167" t="s">
        <v>84</v>
      </c>
      <c r="C11" s="168">
        <v>2025</v>
      </c>
      <c r="D11" s="168">
        <v>2026</v>
      </c>
      <c r="E11" s="168">
        <v>2027</v>
      </c>
      <c r="F11" s="168">
        <v>2028</v>
      </c>
      <c r="G11" s="168">
        <v>2029</v>
      </c>
      <c r="H11" s="168">
        <v>2030</v>
      </c>
      <c r="I11" s="168">
        <v>2031</v>
      </c>
      <c r="J11" s="168">
        <v>2032</v>
      </c>
      <c r="K11" s="168">
        <v>2033</v>
      </c>
      <c r="L11" s="168">
        <v>2034</v>
      </c>
      <c r="M11" s="168">
        <v>2035</v>
      </c>
    </row>
    <row r="12" spans="2:13" ht="16.5" thickBot="1" x14ac:dyDescent="0.3">
      <c r="B12" s="169" t="s">
        <v>81</v>
      </c>
      <c r="C12" s="171">
        <v>0</v>
      </c>
      <c r="D12" s="171">
        <v>0.01</v>
      </c>
      <c r="E12" s="171">
        <v>0.03</v>
      </c>
      <c r="F12" s="171">
        <v>0.04</v>
      </c>
      <c r="G12" s="171">
        <v>0.04</v>
      </c>
      <c r="H12" s="171">
        <v>0.05</v>
      </c>
      <c r="I12" s="171">
        <v>7.0000000000000007E-2</v>
      </c>
      <c r="J12" s="171">
        <v>0.09</v>
      </c>
      <c r="K12" s="171">
        <v>0.1</v>
      </c>
      <c r="L12" s="171">
        <v>0.1</v>
      </c>
      <c r="M12" s="171">
        <v>0</v>
      </c>
    </row>
    <row r="13" spans="2:13" ht="16.5" thickBot="1" x14ac:dyDescent="0.3">
      <c r="B13" s="169" t="s">
        <v>82</v>
      </c>
      <c r="C13" s="171">
        <v>0</v>
      </c>
      <c r="D13" s="171">
        <v>0</v>
      </c>
      <c r="E13" s="171">
        <v>0</v>
      </c>
      <c r="F13" s="171">
        <v>0</v>
      </c>
      <c r="G13" s="171">
        <v>0</v>
      </c>
      <c r="H13" s="171">
        <v>0</v>
      </c>
      <c r="I13" s="171">
        <v>0</v>
      </c>
      <c r="J13" s="171">
        <v>0</v>
      </c>
      <c r="K13" s="171">
        <v>0</v>
      </c>
      <c r="L13" s="171">
        <v>0</v>
      </c>
      <c r="M13" s="171">
        <v>0</v>
      </c>
    </row>
    <row r="14" spans="2:13" ht="15.75" x14ac:dyDescent="0.25">
      <c r="B14" s="170"/>
      <c r="C14" s="170"/>
      <c r="D14" s="170"/>
      <c r="E14" s="170"/>
      <c r="F14" s="170"/>
      <c r="G14" s="170"/>
      <c r="H14" s="170"/>
      <c r="I14" s="170"/>
      <c r="J14" s="170"/>
      <c r="K14" s="170"/>
      <c r="L14" s="170"/>
      <c r="M14" s="170"/>
    </row>
    <row r="15" spans="2:13" ht="16.5" thickBot="1" x14ac:dyDescent="0.3">
      <c r="B15" s="167" t="s">
        <v>85</v>
      </c>
      <c r="C15" s="168">
        <v>2025</v>
      </c>
      <c r="D15" s="168">
        <v>2026</v>
      </c>
      <c r="E15" s="168">
        <v>2027</v>
      </c>
      <c r="F15" s="168">
        <v>2028</v>
      </c>
      <c r="G15" s="168">
        <v>2029</v>
      </c>
      <c r="H15" s="168">
        <v>2030</v>
      </c>
      <c r="I15" s="168">
        <v>2031</v>
      </c>
      <c r="J15" s="168">
        <v>2032</v>
      </c>
      <c r="K15" s="168">
        <v>2033</v>
      </c>
      <c r="L15" s="168">
        <v>2034</v>
      </c>
      <c r="M15" s="168">
        <v>2035</v>
      </c>
    </row>
    <row r="16" spans="2:13" ht="16.5" thickBot="1" x14ac:dyDescent="0.3">
      <c r="B16" s="169" t="s">
        <v>81</v>
      </c>
      <c r="C16" s="171">
        <v>0</v>
      </c>
      <c r="D16" s="171">
        <v>0.01</v>
      </c>
      <c r="E16" s="171">
        <v>0.03</v>
      </c>
      <c r="F16" s="171">
        <v>0.04</v>
      </c>
      <c r="G16" s="171">
        <v>0.04</v>
      </c>
      <c r="H16" s="171">
        <v>0.05</v>
      </c>
      <c r="I16" s="171">
        <v>7.0000000000000007E-2</v>
      </c>
      <c r="J16" s="171">
        <v>0.09</v>
      </c>
      <c r="K16" s="171">
        <v>0.1</v>
      </c>
      <c r="L16" s="171">
        <v>0.1</v>
      </c>
      <c r="M16" s="171">
        <v>0.09</v>
      </c>
    </row>
    <row r="17" spans="2:13" ht="16.5" thickBot="1" x14ac:dyDescent="0.3">
      <c r="B17" s="169" t="s">
        <v>82</v>
      </c>
      <c r="C17" s="171">
        <v>0</v>
      </c>
      <c r="D17" s="171">
        <v>0</v>
      </c>
      <c r="E17" s="171">
        <v>0</v>
      </c>
      <c r="F17" s="171">
        <v>0</v>
      </c>
      <c r="G17" s="171">
        <v>0</v>
      </c>
      <c r="H17" s="171">
        <v>0</v>
      </c>
      <c r="I17" s="171">
        <v>0</v>
      </c>
      <c r="J17" s="171">
        <v>0</v>
      </c>
      <c r="K17" s="171">
        <v>0</v>
      </c>
      <c r="L17" s="171">
        <v>0</v>
      </c>
      <c r="M17" s="171">
        <v>0</v>
      </c>
    </row>
    <row r="18" spans="2:13" ht="15.75" x14ac:dyDescent="0.25">
      <c r="B18" s="170"/>
      <c r="C18" s="170"/>
      <c r="D18" s="170"/>
      <c r="E18" s="170"/>
      <c r="F18" s="170"/>
      <c r="G18" s="170"/>
      <c r="H18" s="170"/>
      <c r="I18" s="170"/>
      <c r="J18" s="170"/>
      <c r="K18" s="170"/>
      <c r="L18" s="170"/>
      <c r="M18" s="170"/>
    </row>
    <row r="19" spans="2:13" ht="16.5" thickBot="1" x14ac:dyDescent="0.3">
      <c r="B19" s="167" t="s">
        <v>86</v>
      </c>
      <c r="C19" s="168">
        <v>2025</v>
      </c>
      <c r="D19" s="168">
        <v>2026</v>
      </c>
      <c r="E19" s="168">
        <v>2027</v>
      </c>
      <c r="F19" s="168">
        <v>2028</v>
      </c>
      <c r="G19" s="168">
        <v>2029</v>
      </c>
      <c r="H19" s="168">
        <v>2030</v>
      </c>
      <c r="I19" s="168">
        <v>2031</v>
      </c>
      <c r="J19" s="168">
        <v>2032</v>
      </c>
      <c r="K19" s="168">
        <v>2033</v>
      </c>
      <c r="L19" s="168">
        <v>2034</v>
      </c>
      <c r="M19" s="168">
        <v>2035</v>
      </c>
    </row>
    <row r="20" spans="2:13" ht="16.5" thickBot="1" x14ac:dyDescent="0.3">
      <c r="B20" s="169" t="s">
        <v>81</v>
      </c>
      <c r="C20" s="171">
        <v>0</v>
      </c>
      <c r="D20" s="171">
        <v>0.01</v>
      </c>
      <c r="E20" s="171">
        <v>0.03</v>
      </c>
      <c r="F20" s="171">
        <v>0.04</v>
      </c>
      <c r="G20" s="171">
        <v>0.04</v>
      </c>
      <c r="H20" s="171">
        <v>0.05</v>
      </c>
      <c r="I20" s="171">
        <v>0.08</v>
      </c>
      <c r="J20" s="171">
        <v>0.09</v>
      </c>
      <c r="K20" s="171">
        <v>0.11</v>
      </c>
      <c r="L20" s="171">
        <v>0.11</v>
      </c>
      <c r="M20" s="171">
        <v>0.1</v>
      </c>
    </row>
    <row r="21" spans="2:13" ht="16.5" thickBot="1" x14ac:dyDescent="0.3">
      <c r="B21" s="169" t="s">
        <v>82</v>
      </c>
      <c r="C21" s="171">
        <v>0</v>
      </c>
      <c r="D21" s="171">
        <v>0</v>
      </c>
      <c r="E21" s="171">
        <v>0</v>
      </c>
      <c r="F21" s="171">
        <v>0</v>
      </c>
      <c r="G21" s="171">
        <v>0</v>
      </c>
      <c r="H21" s="171">
        <v>0</v>
      </c>
      <c r="I21" s="171">
        <v>0</v>
      </c>
      <c r="J21" s="171">
        <v>0</v>
      </c>
      <c r="K21" s="171">
        <v>0</v>
      </c>
      <c r="L21" s="171">
        <v>0</v>
      </c>
      <c r="M21" s="171">
        <v>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54DAA2-88D3-4741-BD22-930CCCF3D578}">
  <dimension ref="B1:AA132"/>
  <sheetViews>
    <sheetView topLeftCell="A148" zoomScaleNormal="100" workbookViewId="0">
      <selection activeCell="J148" sqref="J148"/>
    </sheetView>
  </sheetViews>
  <sheetFormatPr defaultColWidth="9.140625" defaultRowHeight="15" x14ac:dyDescent="0.25"/>
  <cols>
    <col min="2" max="2" width="24.28515625" customWidth="1"/>
    <col min="3" max="13" width="11" customWidth="1"/>
    <col min="14" max="15" width="15.28515625" customWidth="1"/>
    <col min="16" max="16" width="46.7109375" customWidth="1"/>
  </cols>
  <sheetData>
    <row r="1" spans="2:27" x14ac:dyDescent="0.25">
      <c r="B1" s="1" t="s">
        <v>87</v>
      </c>
    </row>
    <row r="3" spans="2:27" x14ac:dyDescent="0.25">
      <c r="C3" s="1"/>
    </row>
    <row r="4" spans="2:27" x14ac:dyDescent="0.25">
      <c r="B4" s="1" t="s">
        <v>88</v>
      </c>
      <c r="C4" s="1"/>
    </row>
    <row r="5" spans="2:27" x14ac:dyDescent="0.25">
      <c r="B5" s="13"/>
      <c r="C5" s="9">
        <v>2025</v>
      </c>
      <c r="D5" s="9">
        <v>2026</v>
      </c>
      <c r="E5" s="9">
        <v>2027</v>
      </c>
      <c r="F5" s="9">
        <v>2028</v>
      </c>
      <c r="G5" s="9">
        <v>2029</v>
      </c>
      <c r="H5" s="9">
        <v>2030</v>
      </c>
      <c r="I5" s="9">
        <v>2031</v>
      </c>
      <c r="J5" s="9">
        <v>2032</v>
      </c>
      <c r="K5" s="9">
        <v>2033</v>
      </c>
      <c r="L5" s="9">
        <v>2034</v>
      </c>
      <c r="M5" s="9">
        <v>2035</v>
      </c>
      <c r="N5" s="24" t="s">
        <v>89</v>
      </c>
      <c r="P5" s="48"/>
      <c r="Q5" s="48"/>
      <c r="R5" s="48"/>
      <c r="S5" s="48"/>
      <c r="T5" s="48"/>
      <c r="U5" s="48"/>
      <c r="V5" s="48"/>
      <c r="W5" s="48"/>
      <c r="X5" s="48"/>
      <c r="Y5" s="48"/>
      <c r="Z5" s="48"/>
    </row>
    <row r="6" spans="2:27" x14ac:dyDescent="0.25">
      <c r="B6" s="17">
        <v>1</v>
      </c>
      <c r="C6" s="18">
        <v>34</v>
      </c>
      <c r="D6" s="18">
        <v>40</v>
      </c>
      <c r="E6" s="18">
        <v>48</v>
      </c>
      <c r="F6" s="18">
        <v>50</v>
      </c>
      <c r="G6" s="18">
        <v>66</v>
      </c>
      <c r="H6" s="18">
        <v>62</v>
      </c>
      <c r="I6" s="18">
        <v>75</v>
      </c>
      <c r="J6" s="18">
        <v>89</v>
      </c>
      <c r="K6" s="18">
        <v>111</v>
      </c>
      <c r="L6" s="18">
        <v>150</v>
      </c>
      <c r="M6" s="18">
        <v>165</v>
      </c>
      <c r="N6" s="75">
        <f>SUM(C6:M6)</f>
        <v>890</v>
      </c>
      <c r="P6" s="48"/>
      <c r="R6" s="48"/>
      <c r="S6" s="48"/>
      <c r="T6" s="48"/>
      <c r="U6" s="48"/>
      <c r="V6" s="48"/>
      <c r="W6" s="48"/>
      <c r="X6" s="48"/>
      <c r="Y6" s="48"/>
      <c r="Z6" s="48"/>
    </row>
    <row r="7" spans="2:27" x14ac:dyDescent="0.25">
      <c r="B7" s="17">
        <v>2</v>
      </c>
      <c r="C7" s="18">
        <v>34</v>
      </c>
      <c r="D7" s="18">
        <v>40</v>
      </c>
      <c r="E7" s="18">
        <v>52</v>
      </c>
      <c r="F7" s="18">
        <v>55</v>
      </c>
      <c r="G7" s="18">
        <v>68</v>
      </c>
      <c r="H7" s="18">
        <v>62</v>
      </c>
      <c r="I7" s="18">
        <v>75</v>
      </c>
      <c r="J7" s="18">
        <v>89</v>
      </c>
      <c r="K7" s="18">
        <v>111</v>
      </c>
      <c r="L7" s="18">
        <v>150</v>
      </c>
      <c r="M7" s="18">
        <v>2204</v>
      </c>
      <c r="N7" s="75">
        <f t="shared" ref="N7:N22" si="0">SUM(C7:M7)</f>
        <v>2940</v>
      </c>
      <c r="P7" s="48"/>
      <c r="R7" s="48"/>
      <c r="S7" s="48"/>
      <c r="T7" s="48"/>
      <c r="U7" s="48"/>
      <c r="V7" s="48"/>
      <c r="W7" s="48"/>
      <c r="X7" s="48"/>
      <c r="Y7" s="48"/>
      <c r="Z7" s="48"/>
      <c r="AA7" s="46"/>
    </row>
    <row r="8" spans="2:27" x14ac:dyDescent="0.25">
      <c r="B8" s="17">
        <v>3</v>
      </c>
      <c r="C8" s="18">
        <v>31</v>
      </c>
      <c r="D8" s="18">
        <v>39</v>
      </c>
      <c r="E8" s="18">
        <v>2</v>
      </c>
      <c r="F8" s="18">
        <v>0</v>
      </c>
      <c r="G8" s="18">
        <v>0</v>
      </c>
      <c r="H8" s="18">
        <v>0</v>
      </c>
      <c r="I8" s="18">
        <v>0</v>
      </c>
      <c r="J8" s="18">
        <v>0</v>
      </c>
      <c r="K8" s="18">
        <v>0</v>
      </c>
      <c r="L8" s="18">
        <v>0</v>
      </c>
      <c r="M8" s="18">
        <v>0</v>
      </c>
      <c r="N8" s="75">
        <f t="shared" si="0"/>
        <v>72</v>
      </c>
      <c r="P8" s="48"/>
      <c r="R8" s="48"/>
      <c r="S8" s="48"/>
      <c r="T8" s="48"/>
      <c r="U8" s="48"/>
      <c r="V8" s="48"/>
      <c r="W8" s="48"/>
      <c r="X8" s="48"/>
      <c r="Y8" s="48"/>
      <c r="Z8" s="48"/>
    </row>
    <row r="9" spans="2:27" x14ac:dyDescent="0.25">
      <c r="B9" s="17">
        <v>4</v>
      </c>
      <c r="C9" s="18">
        <v>33</v>
      </c>
      <c r="D9" s="18">
        <v>39</v>
      </c>
      <c r="E9" s="18">
        <v>4</v>
      </c>
      <c r="F9" s="18">
        <v>0</v>
      </c>
      <c r="G9" s="18">
        <v>0</v>
      </c>
      <c r="H9" s="18">
        <v>0</v>
      </c>
      <c r="I9" s="18">
        <v>0</v>
      </c>
      <c r="J9" s="18">
        <v>0</v>
      </c>
      <c r="K9" s="18">
        <v>0</v>
      </c>
      <c r="L9" s="18">
        <v>0</v>
      </c>
      <c r="M9" s="18">
        <v>0</v>
      </c>
      <c r="N9" s="75">
        <f t="shared" si="0"/>
        <v>76</v>
      </c>
      <c r="P9" s="48"/>
      <c r="R9" s="48"/>
      <c r="S9" s="48"/>
      <c r="T9" s="48"/>
      <c r="U9" s="48"/>
      <c r="V9" s="48"/>
      <c r="W9" s="48"/>
      <c r="X9" s="48"/>
      <c r="Y9" s="48"/>
      <c r="Z9" s="48"/>
    </row>
    <row r="10" spans="2:27" x14ac:dyDescent="0.25">
      <c r="B10" s="17">
        <v>5</v>
      </c>
      <c r="C10" s="18">
        <v>31</v>
      </c>
      <c r="D10" s="18">
        <v>39</v>
      </c>
      <c r="E10" s="18">
        <v>49</v>
      </c>
      <c r="F10" s="18">
        <v>245</v>
      </c>
      <c r="G10" s="18">
        <v>252</v>
      </c>
      <c r="H10" s="18">
        <v>279</v>
      </c>
      <c r="I10" s="18">
        <v>307</v>
      </c>
      <c r="J10" s="18">
        <v>350</v>
      </c>
      <c r="K10" s="18">
        <v>381</v>
      </c>
      <c r="L10" s="18">
        <v>404</v>
      </c>
      <c r="M10" s="18">
        <v>2115</v>
      </c>
      <c r="N10" s="75">
        <f t="shared" si="0"/>
        <v>4452</v>
      </c>
      <c r="P10" s="48"/>
      <c r="R10" s="48"/>
      <c r="S10" s="48"/>
      <c r="T10" s="48"/>
      <c r="U10" s="48"/>
      <c r="V10" s="48"/>
      <c r="W10" s="48"/>
      <c r="X10" s="48"/>
      <c r="Y10" s="48"/>
      <c r="Z10" s="48"/>
      <c r="AA10" s="46"/>
    </row>
    <row r="11" spans="2:27" x14ac:dyDescent="0.25">
      <c r="B11" s="17">
        <v>6</v>
      </c>
      <c r="C11" s="18">
        <v>31</v>
      </c>
      <c r="D11" s="18">
        <v>39</v>
      </c>
      <c r="E11" s="18">
        <v>43</v>
      </c>
      <c r="F11" s="18">
        <v>38</v>
      </c>
      <c r="G11" s="18">
        <v>36</v>
      </c>
      <c r="H11" s="18">
        <v>37</v>
      </c>
      <c r="I11" s="18">
        <v>35</v>
      </c>
      <c r="J11" s="18">
        <v>31</v>
      </c>
      <c r="K11" s="18">
        <v>32</v>
      </c>
      <c r="L11" s="18">
        <v>32</v>
      </c>
      <c r="M11" s="18">
        <v>2141</v>
      </c>
      <c r="N11" s="75">
        <f t="shared" si="0"/>
        <v>2495</v>
      </c>
      <c r="P11" s="48"/>
      <c r="R11" s="48"/>
      <c r="S11" s="48"/>
      <c r="T11" s="48"/>
      <c r="U11" s="48"/>
      <c r="V11" s="48"/>
      <c r="W11" s="48"/>
      <c r="X11" s="48"/>
      <c r="Y11" s="48"/>
      <c r="Z11" s="48"/>
      <c r="AA11" s="46"/>
    </row>
    <row r="12" spans="2:27" x14ac:dyDescent="0.25">
      <c r="B12" s="17">
        <v>7</v>
      </c>
      <c r="C12" s="18">
        <v>31</v>
      </c>
      <c r="D12" s="18">
        <v>39</v>
      </c>
      <c r="E12" s="18">
        <v>44</v>
      </c>
      <c r="F12" s="18">
        <v>37</v>
      </c>
      <c r="G12" s="18">
        <v>36</v>
      </c>
      <c r="H12" s="18">
        <v>38</v>
      </c>
      <c r="I12" s="18">
        <v>36</v>
      </c>
      <c r="J12" s="18">
        <v>34</v>
      </c>
      <c r="K12" s="18">
        <v>32</v>
      </c>
      <c r="L12" s="18">
        <v>34</v>
      </c>
      <c r="M12" s="18">
        <v>2136</v>
      </c>
      <c r="N12" s="75">
        <f t="shared" si="0"/>
        <v>2497</v>
      </c>
      <c r="P12" s="48"/>
      <c r="R12" s="48"/>
      <c r="S12" s="48"/>
      <c r="T12" s="48"/>
      <c r="U12" s="48"/>
      <c r="V12" s="48"/>
      <c r="W12" s="48"/>
      <c r="X12" s="48"/>
      <c r="Y12" s="48"/>
      <c r="Z12" s="48"/>
      <c r="AA12" s="46"/>
    </row>
    <row r="13" spans="2:27" x14ac:dyDescent="0.25">
      <c r="B13" s="17">
        <v>8</v>
      </c>
      <c r="C13" s="18">
        <v>31</v>
      </c>
      <c r="D13" s="18">
        <v>39</v>
      </c>
      <c r="E13" s="18">
        <v>49</v>
      </c>
      <c r="F13" s="18">
        <v>53</v>
      </c>
      <c r="G13" s="18">
        <v>61</v>
      </c>
      <c r="H13" s="18">
        <v>7</v>
      </c>
      <c r="I13" s="18">
        <v>0</v>
      </c>
      <c r="J13" s="18">
        <v>0</v>
      </c>
      <c r="K13" s="18">
        <v>0</v>
      </c>
      <c r="L13" s="18">
        <v>0</v>
      </c>
      <c r="M13" s="18">
        <v>3</v>
      </c>
      <c r="N13" s="75">
        <f t="shared" si="0"/>
        <v>243</v>
      </c>
      <c r="P13" s="48"/>
      <c r="R13" s="48"/>
      <c r="S13" s="48"/>
      <c r="T13" s="48"/>
      <c r="U13" s="48"/>
      <c r="V13" s="48"/>
      <c r="W13" s="48"/>
      <c r="X13" s="48"/>
      <c r="Y13" s="48"/>
      <c r="Z13" s="48"/>
    </row>
    <row r="14" spans="2:27" x14ac:dyDescent="0.25">
      <c r="B14" s="17">
        <v>9</v>
      </c>
      <c r="C14" s="18">
        <v>31</v>
      </c>
      <c r="D14" s="18">
        <v>39</v>
      </c>
      <c r="E14" s="18">
        <v>43</v>
      </c>
      <c r="F14" s="18">
        <v>39</v>
      </c>
      <c r="G14" s="18">
        <v>38</v>
      </c>
      <c r="H14" s="18">
        <v>0</v>
      </c>
      <c r="I14" s="18">
        <v>0</v>
      </c>
      <c r="J14" s="18">
        <v>0</v>
      </c>
      <c r="K14" s="18">
        <v>0</v>
      </c>
      <c r="L14" s="18">
        <v>0</v>
      </c>
      <c r="M14" s="18">
        <v>438</v>
      </c>
      <c r="N14" s="75">
        <f t="shared" si="0"/>
        <v>628</v>
      </c>
      <c r="P14" s="48"/>
      <c r="R14" s="48"/>
      <c r="S14" s="48"/>
      <c r="T14" s="48"/>
      <c r="U14" s="48"/>
      <c r="V14" s="48"/>
      <c r="W14" s="48"/>
      <c r="X14" s="48"/>
      <c r="Y14" s="48"/>
      <c r="Z14" s="48"/>
    </row>
    <row r="15" spans="2:27" x14ac:dyDescent="0.25">
      <c r="B15" s="17">
        <v>10</v>
      </c>
      <c r="C15" s="18">
        <v>31</v>
      </c>
      <c r="D15" s="18">
        <v>39</v>
      </c>
      <c r="E15" s="18">
        <v>43</v>
      </c>
      <c r="F15" s="18">
        <v>39</v>
      </c>
      <c r="G15" s="18">
        <v>38</v>
      </c>
      <c r="H15" s="18">
        <v>35</v>
      </c>
      <c r="I15" s="18">
        <v>38</v>
      </c>
      <c r="J15" s="18">
        <v>33</v>
      </c>
      <c r="K15" s="18">
        <v>37</v>
      </c>
      <c r="L15" s="18">
        <v>42</v>
      </c>
      <c r="M15" s="18">
        <v>41</v>
      </c>
      <c r="N15" s="75">
        <f t="shared" si="0"/>
        <v>416</v>
      </c>
      <c r="P15" s="48"/>
      <c r="Z15" s="48"/>
    </row>
    <row r="16" spans="2:27" x14ac:dyDescent="0.25">
      <c r="B16" s="17">
        <v>11</v>
      </c>
      <c r="C16" s="18">
        <v>31</v>
      </c>
      <c r="D16" s="18">
        <v>39</v>
      </c>
      <c r="E16" s="18">
        <v>4</v>
      </c>
      <c r="F16" s="18">
        <v>0</v>
      </c>
      <c r="G16" s="18">
        <v>0</v>
      </c>
      <c r="H16" s="18">
        <v>0</v>
      </c>
      <c r="I16" s="18">
        <v>0</v>
      </c>
      <c r="J16" s="18">
        <v>0</v>
      </c>
      <c r="K16" s="18">
        <v>0</v>
      </c>
      <c r="L16" s="18">
        <v>0</v>
      </c>
      <c r="M16" s="18">
        <v>0</v>
      </c>
      <c r="N16" s="75">
        <f t="shared" si="0"/>
        <v>74</v>
      </c>
      <c r="P16" s="48"/>
      <c r="R16" s="48"/>
      <c r="S16" s="48"/>
      <c r="T16" s="48"/>
      <c r="U16" s="48"/>
      <c r="V16" s="48"/>
      <c r="W16" s="48"/>
      <c r="X16" s="48"/>
      <c r="Y16" s="48"/>
      <c r="Z16" s="48"/>
    </row>
    <row r="17" spans="2:27" x14ac:dyDescent="0.25">
      <c r="B17" s="17">
        <v>12</v>
      </c>
      <c r="C17" s="18">
        <v>27</v>
      </c>
      <c r="D17" s="18">
        <v>35</v>
      </c>
      <c r="E17" s="18">
        <v>19</v>
      </c>
      <c r="F17" s="18">
        <v>15</v>
      </c>
      <c r="G17" s="18">
        <v>5</v>
      </c>
      <c r="H17" s="18">
        <v>3</v>
      </c>
      <c r="I17" s="18">
        <v>2</v>
      </c>
      <c r="J17" s="18">
        <v>5</v>
      </c>
      <c r="K17" s="18">
        <v>1</v>
      </c>
      <c r="L17" s="18">
        <v>1</v>
      </c>
      <c r="M17" s="18">
        <v>1369</v>
      </c>
      <c r="N17" s="75">
        <f t="shared" si="0"/>
        <v>1482</v>
      </c>
      <c r="P17" s="48"/>
      <c r="Z17" s="48"/>
      <c r="AA17" s="46"/>
    </row>
    <row r="18" spans="2:27" x14ac:dyDescent="0.25">
      <c r="B18" s="17">
        <v>13</v>
      </c>
      <c r="C18" s="18">
        <v>31</v>
      </c>
      <c r="D18" s="18">
        <v>39</v>
      </c>
      <c r="E18" s="18">
        <v>36</v>
      </c>
      <c r="F18" s="18">
        <v>37</v>
      </c>
      <c r="G18" s="18">
        <v>42</v>
      </c>
      <c r="H18" s="18">
        <v>26</v>
      </c>
      <c r="I18" s="18">
        <v>25</v>
      </c>
      <c r="J18" s="18">
        <v>26</v>
      </c>
      <c r="K18" s="18">
        <v>31</v>
      </c>
      <c r="L18" s="18">
        <v>43</v>
      </c>
      <c r="M18" s="18">
        <v>2449</v>
      </c>
      <c r="N18" s="75">
        <f t="shared" si="0"/>
        <v>2785</v>
      </c>
      <c r="P18" s="48"/>
      <c r="Z18" s="48"/>
      <c r="AA18" s="46"/>
    </row>
    <row r="19" spans="2:27" x14ac:dyDescent="0.25">
      <c r="B19" s="17">
        <v>14</v>
      </c>
      <c r="C19" s="149">
        <v>31</v>
      </c>
      <c r="D19" s="149">
        <v>39</v>
      </c>
      <c r="E19" s="149">
        <v>13</v>
      </c>
      <c r="F19" s="149">
        <v>14</v>
      </c>
      <c r="G19" s="149">
        <v>13</v>
      </c>
      <c r="H19" s="149">
        <v>7</v>
      </c>
      <c r="I19" s="149">
        <v>0</v>
      </c>
      <c r="J19" s="149">
        <v>0</v>
      </c>
      <c r="K19" s="149">
        <v>0</v>
      </c>
      <c r="L19" s="149">
        <v>0</v>
      </c>
      <c r="M19" s="149">
        <v>0</v>
      </c>
      <c r="N19" s="149">
        <f t="shared" si="0"/>
        <v>117</v>
      </c>
      <c r="P19" s="48"/>
      <c r="Z19" s="48"/>
      <c r="AA19" s="46"/>
    </row>
    <row r="20" spans="2:27" x14ac:dyDescent="0.25">
      <c r="B20" s="17">
        <v>15</v>
      </c>
      <c r="C20" s="149">
        <v>27</v>
      </c>
      <c r="D20" s="149">
        <v>35</v>
      </c>
      <c r="E20" s="149">
        <v>19</v>
      </c>
      <c r="F20" s="149">
        <v>15</v>
      </c>
      <c r="G20" s="149">
        <v>5</v>
      </c>
      <c r="H20" s="149">
        <v>3</v>
      </c>
      <c r="I20" s="149">
        <v>0</v>
      </c>
      <c r="J20" s="149">
        <v>0</v>
      </c>
      <c r="K20" s="149">
        <v>0</v>
      </c>
      <c r="L20" s="149">
        <v>0</v>
      </c>
      <c r="M20" s="149">
        <v>267</v>
      </c>
      <c r="N20" s="149">
        <f t="shared" si="0"/>
        <v>371</v>
      </c>
      <c r="P20" s="48"/>
      <c r="Z20" s="48"/>
      <c r="AA20" s="46"/>
    </row>
    <row r="21" spans="2:27" x14ac:dyDescent="0.25">
      <c r="B21" s="17">
        <v>16</v>
      </c>
      <c r="C21" s="149">
        <v>27</v>
      </c>
      <c r="D21" s="149">
        <v>35</v>
      </c>
      <c r="E21" s="149">
        <v>19</v>
      </c>
      <c r="F21" s="149">
        <v>15</v>
      </c>
      <c r="G21" s="149">
        <v>5</v>
      </c>
      <c r="H21" s="149">
        <v>3</v>
      </c>
      <c r="I21" s="149">
        <v>0</v>
      </c>
      <c r="J21" s="149">
        <v>0</v>
      </c>
      <c r="K21" s="149">
        <v>0</v>
      </c>
      <c r="L21" s="149">
        <v>0</v>
      </c>
      <c r="M21" s="149">
        <v>0</v>
      </c>
      <c r="N21" s="149">
        <f t="shared" si="0"/>
        <v>104</v>
      </c>
      <c r="P21" s="48"/>
      <c r="Z21" s="48"/>
      <c r="AA21" s="46"/>
    </row>
    <row r="22" spans="2:27" x14ac:dyDescent="0.25">
      <c r="B22" s="17">
        <v>17</v>
      </c>
      <c r="C22" s="149">
        <v>27</v>
      </c>
      <c r="D22" s="149">
        <v>35</v>
      </c>
      <c r="E22" s="149">
        <v>19</v>
      </c>
      <c r="F22" s="149">
        <v>15</v>
      </c>
      <c r="G22" s="149">
        <v>5</v>
      </c>
      <c r="H22" s="149">
        <v>3</v>
      </c>
      <c r="I22" s="149">
        <v>2</v>
      </c>
      <c r="J22" s="149">
        <v>5</v>
      </c>
      <c r="K22" s="149">
        <v>1</v>
      </c>
      <c r="L22" s="149">
        <v>1</v>
      </c>
      <c r="M22" s="149">
        <v>2</v>
      </c>
      <c r="N22" s="149">
        <f t="shared" si="0"/>
        <v>115</v>
      </c>
      <c r="P22" s="48"/>
      <c r="Z22" s="48"/>
      <c r="AA22" s="46"/>
    </row>
    <row r="23" spans="2:27" x14ac:dyDescent="0.25">
      <c r="P23" s="48"/>
    </row>
    <row r="24" spans="2:27" x14ac:dyDescent="0.25">
      <c r="P24" s="48"/>
    </row>
    <row r="25" spans="2:27" x14ac:dyDescent="0.25">
      <c r="C25" s="1"/>
      <c r="P25" s="48"/>
    </row>
    <row r="26" spans="2:27" x14ac:dyDescent="0.25">
      <c r="B26" s="1" t="s">
        <v>90</v>
      </c>
      <c r="C26" s="1"/>
      <c r="P26" s="48"/>
    </row>
    <row r="27" spans="2:27" x14ac:dyDescent="0.25">
      <c r="B27" s="13"/>
      <c r="C27" s="9">
        <v>2025</v>
      </c>
      <c r="D27" s="9">
        <v>2026</v>
      </c>
      <c r="E27" s="9">
        <v>2027</v>
      </c>
      <c r="F27" s="9">
        <v>2028</v>
      </c>
      <c r="G27" s="9">
        <v>2029</v>
      </c>
      <c r="H27" s="9">
        <v>2030</v>
      </c>
      <c r="I27" s="9">
        <v>2031</v>
      </c>
      <c r="J27" s="9">
        <v>2032</v>
      </c>
      <c r="K27" s="9">
        <v>2033</v>
      </c>
      <c r="L27" s="9">
        <v>2034</v>
      </c>
      <c r="M27" s="9">
        <v>2035</v>
      </c>
      <c r="N27" s="24" t="s">
        <v>89</v>
      </c>
      <c r="P27" s="48"/>
      <c r="Q27" s="48"/>
      <c r="R27" s="48"/>
      <c r="S27" s="48"/>
      <c r="T27" s="48"/>
      <c r="U27" s="48"/>
      <c r="V27" s="48"/>
      <c r="W27" s="48"/>
      <c r="X27" s="48"/>
      <c r="Y27" s="48"/>
      <c r="Z27" s="48"/>
    </row>
    <row r="28" spans="2:27" x14ac:dyDescent="0.25">
      <c r="B28" s="17" t="s">
        <v>91</v>
      </c>
      <c r="C28" s="149">
        <v>78</v>
      </c>
      <c r="D28" s="149">
        <v>182</v>
      </c>
      <c r="E28" s="149">
        <v>99</v>
      </c>
      <c r="F28" s="149">
        <v>162</v>
      </c>
      <c r="G28" s="149">
        <v>217</v>
      </c>
      <c r="H28" s="149">
        <v>193</v>
      </c>
      <c r="I28" s="149">
        <v>37</v>
      </c>
      <c r="J28" s="149">
        <v>76</v>
      </c>
      <c r="K28" s="149">
        <v>124</v>
      </c>
      <c r="L28" s="149">
        <v>214</v>
      </c>
      <c r="M28" s="149">
        <v>283</v>
      </c>
      <c r="N28" s="149">
        <f t="shared" ref="N28:N31" si="1">SUM(C28:M28)</f>
        <v>1665</v>
      </c>
      <c r="P28" s="48"/>
      <c r="Z28" s="48"/>
      <c r="AA28" s="46"/>
    </row>
    <row r="29" spans="2:27" x14ac:dyDescent="0.25">
      <c r="B29" s="17" t="s">
        <v>92</v>
      </c>
      <c r="C29" s="149">
        <v>64</v>
      </c>
      <c r="D29" s="149">
        <v>121</v>
      </c>
      <c r="E29" s="149">
        <v>134</v>
      </c>
      <c r="F29" s="149">
        <v>157</v>
      </c>
      <c r="G29" s="149">
        <v>184</v>
      </c>
      <c r="H29" s="149">
        <v>135</v>
      </c>
      <c r="I29" s="149">
        <v>14</v>
      </c>
      <c r="J29" s="149">
        <v>47</v>
      </c>
      <c r="K29" s="149">
        <v>38</v>
      </c>
      <c r="L29" s="149">
        <v>53</v>
      </c>
      <c r="M29" s="149">
        <v>2288</v>
      </c>
      <c r="N29" s="149">
        <f t="shared" si="1"/>
        <v>3235</v>
      </c>
      <c r="P29" s="48"/>
      <c r="Z29" s="48"/>
      <c r="AA29" s="46"/>
    </row>
    <row r="30" spans="2:27" x14ac:dyDescent="0.25">
      <c r="B30" s="17" t="s">
        <v>93</v>
      </c>
      <c r="C30" s="149">
        <v>64</v>
      </c>
      <c r="D30" s="149">
        <v>121</v>
      </c>
      <c r="E30" s="149">
        <v>134</v>
      </c>
      <c r="F30" s="149">
        <v>157</v>
      </c>
      <c r="G30" s="149">
        <v>184</v>
      </c>
      <c r="H30" s="149">
        <v>135</v>
      </c>
      <c r="I30" s="149">
        <v>14</v>
      </c>
      <c r="J30" s="149">
        <v>47</v>
      </c>
      <c r="K30" s="149">
        <v>62</v>
      </c>
      <c r="L30" s="149">
        <v>58</v>
      </c>
      <c r="M30" s="149">
        <v>71</v>
      </c>
      <c r="N30" s="149">
        <f t="shared" si="1"/>
        <v>1047</v>
      </c>
      <c r="P30" s="48"/>
      <c r="Z30" s="48"/>
      <c r="AA30" s="46"/>
    </row>
    <row r="31" spans="2:27" x14ac:dyDescent="0.25">
      <c r="B31" s="17" t="s">
        <v>94</v>
      </c>
      <c r="C31" s="149">
        <v>64</v>
      </c>
      <c r="D31" s="149">
        <v>121</v>
      </c>
      <c r="E31" s="149">
        <v>134</v>
      </c>
      <c r="F31" s="149">
        <v>157</v>
      </c>
      <c r="G31" s="149">
        <v>184</v>
      </c>
      <c r="H31" s="149">
        <v>135</v>
      </c>
      <c r="I31" s="149">
        <v>201</v>
      </c>
      <c r="J31" s="149">
        <v>303</v>
      </c>
      <c r="K31" s="149">
        <v>339</v>
      </c>
      <c r="L31" s="149">
        <v>388</v>
      </c>
      <c r="M31" s="149">
        <v>473</v>
      </c>
      <c r="N31" s="149">
        <f t="shared" si="1"/>
        <v>2499</v>
      </c>
      <c r="P31" s="48"/>
      <c r="Z31" s="48"/>
      <c r="AA31" s="46"/>
    </row>
    <row r="32" spans="2:27" x14ac:dyDescent="0.25">
      <c r="P32" s="48"/>
    </row>
    <row r="36" spans="2:15" x14ac:dyDescent="0.25">
      <c r="O36" s="76"/>
    </row>
    <row r="43" spans="2:15" x14ac:dyDescent="0.25">
      <c r="C43" s="1"/>
    </row>
    <row r="44" spans="2:15" x14ac:dyDescent="0.25">
      <c r="C44" s="1"/>
    </row>
    <row r="45" spans="2:15" x14ac:dyDescent="0.25">
      <c r="B45" s="1" t="s">
        <v>95</v>
      </c>
      <c r="C45" s="1"/>
    </row>
    <row r="46" spans="2:15" x14ac:dyDescent="0.25">
      <c r="B46" s="13"/>
      <c r="C46" s="9">
        <v>2025</v>
      </c>
      <c r="D46" s="9">
        <v>2026</v>
      </c>
      <c r="E46" s="9">
        <v>2027</v>
      </c>
      <c r="F46" s="9">
        <v>2028</v>
      </c>
      <c r="G46" s="9">
        <v>2029</v>
      </c>
      <c r="H46" s="9">
        <v>2030</v>
      </c>
      <c r="I46" s="9">
        <v>2031</v>
      </c>
      <c r="J46" s="9">
        <v>2032</v>
      </c>
      <c r="K46" s="9">
        <v>2033</v>
      </c>
      <c r="L46" s="9">
        <v>2034</v>
      </c>
      <c r="M46" s="9">
        <v>2035</v>
      </c>
      <c r="N46" s="24" t="s">
        <v>89</v>
      </c>
    </row>
    <row r="47" spans="2:15" x14ac:dyDescent="0.25">
      <c r="B47" s="17">
        <v>1</v>
      </c>
      <c r="C47" s="18">
        <v>7</v>
      </c>
      <c r="D47" s="18">
        <v>9</v>
      </c>
      <c r="E47" s="18">
        <v>10</v>
      </c>
      <c r="F47" s="18">
        <v>9</v>
      </c>
      <c r="G47" s="18">
        <v>11</v>
      </c>
      <c r="H47" s="18">
        <v>11</v>
      </c>
      <c r="I47" s="18">
        <v>14</v>
      </c>
      <c r="J47" s="18">
        <v>16</v>
      </c>
      <c r="K47" s="18">
        <v>24</v>
      </c>
      <c r="L47" s="18">
        <v>32</v>
      </c>
      <c r="M47" s="18">
        <v>35</v>
      </c>
      <c r="N47" s="75">
        <f>SUM(C47:M47)</f>
        <v>178</v>
      </c>
    </row>
    <row r="48" spans="2:15" x14ac:dyDescent="0.25">
      <c r="B48" s="17">
        <v>2</v>
      </c>
      <c r="C48" s="18">
        <v>7</v>
      </c>
      <c r="D48" s="18">
        <v>9</v>
      </c>
      <c r="E48" s="18">
        <v>10</v>
      </c>
      <c r="F48" s="18">
        <v>9</v>
      </c>
      <c r="G48" s="18">
        <v>13</v>
      </c>
      <c r="H48" s="18">
        <v>11</v>
      </c>
      <c r="I48" s="18">
        <v>14</v>
      </c>
      <c r="J48" s="18">
        <v>16</v>
      </c>
      <c r="K48" s="18">
        <v>24</v>
      </c>
      <c r="L48" s="18">
        <v>32</v>
      </c>
      <c r="M48" s="18">
        <v>43</v>
      </c>
      <c r="N48" s="75">
        <f t="shared" ref="N48:N63" si="2">SUM(C48:M48)</f>
        <v>188</v>
      </c>
    </row>
    <row r="49" spans="2:27" x14ac:dyDescent="0.25">
      <c r="B49" s="17">
        <v>3</v>
      </c>
      <c r="C49" s="18">
        <v>7</v>
      </c>
      <c r="D49" s="18">
        <v>8</v>
      </c>
      <c r="E49" s="18">
        <v>0</v>
      </c>
      <c r="F49" s="18">
        <v>0</v>
      </c>
      <c r="G49" s="18">
        <v>0</v>
      </c>
      <c r="H49" s="18">
        <v>0</v>
      </c>
      <c r="I49" s="18">
        <v>0</v>
      </c>
      <c r="J49" s="18">
        <v>0</v>
      </c>
      <c r="K49" s="18">
        <v>0</v>
      </c>
      <c r="L49" s="18">
        <v>0</v>
      </c>
      <c r="M49" s="18">
        <v>0</v>
      </c>
      <c r="N49" s="75">
        <f t="shared" si="2"/>
        <v>15</v>
      </c>
      <c r="P49" s="133"/>
    </row>
    <row r="50" spans="2:27" x14ac:dyDescent="0.25">
      <c r="B50" s="17">
        <v>4</v>
      </c>
      <c r="C50" s="18">
        <v>7</v>
      </c>
      <c r="D50" s="18">
        <v>8</v>
      </c>
      <c r="E50" s="18">
        <v>0</v>
      </c>
      <c r="F50" s="18">
        <v>0</v>
      </c>
      <c r="G50" s="18">
        <v>0</v>
      </c>
      <c r="H50" s="18">
        <v>0</v>
      </c>
      <c r="I50" s="18">
        <v>0</v>
      </c>
      <c r="J50" s="18">
        <v>0</v>
      </c>
      <c r="K50" s="18">
        <v>0</v>
      </c>
      <c r="L50" s="18">
        <v>0</v>
      </c>
      <c r="M50" s="18">
        <v>0</v>
      </c>
      <c r="N50" s="75">
        <f t="shared" si="2"/>
        <v>15</v>
      </c>
      <c r="P50" s="133"/>
    </row>
    <row r="51" spans="2:27" x14ac:dyDescent="0.25">
      <c r="B51" s="17">
        <v>5</v>
      </c>
      <c r="C51" s="18">
        <v>7</v>
      </c>
      <c r="D51" s="18">
        <v>8</v>
      </c>
      <c r="E51" s="18">
        <v>10</v>
      </c>
      <c r="F51" s="18">
        <v>48</v>
      </c>
      <c r="G51" s="18">
        <v>45</v>
      </c>
      <c r="H51" s="18">
        <v>54</v>
      </c>
      <c r="I51" s="18">
        <v>59</v>
      </c>
      <c r="J51" s="18">
        <v>63</v>
      </c>
      <c r="K51" s="18">
        <v>66</v>
      </c>
      <c r="L51" s="18">
        <v>69</v>
      </c>
      <c r="M51" s="18">
        <v>193</v>
      </c>
      <c r="N51" s="75">
        <f t="shared" si="2"/>
        <v>622</v>
      </c>
      <c r="P51" s="133"/>
    </row>
    <row r="52" spans="2:27" x14ac:dyDescent="0.25">
      <c r="B52" s="17">
        <v>6</v>
      </c>
      <c r="C52" s="18">
        <v>7</v>
      </c>
      <c r="D52" s="18">
        <v>8</v>
      </c>
      <c r="E52" s="18">
        <v>8</v>
      </c>
      <c r="F52" s="18">
        <v>6</v>
      </c>
      <c r="G52" s="18">
        <v>5</v>
      </c>
      <c r="H52" s="18">
        <v>7</v>
      </c>
      <c r="I52" s="18">
        <v>7</v>
      </c>
      <c r="J52" s="18">
        <v>7</v>
      </c>
      <c r="K52" s="18">
        <v>6</v>
      </c>
      <c r="L52" s="18">
        <v>6</v>
      </c>
      <c r="M52" s="18">
        <v>193</v>
      </c>
      <c r="N52" s="75">
        <f t="shared" si="2"/>
        <v>260</v>
      </c>
      <c r="P52" s="133"/>
    </row>
    <row r="53" spans="2:27" x14ac:dyDescent="0.25">
      <c r="B53" s="17">
        <v>7</v>
      </c>
      <c r="C53" s="18">
        <v>7</v>
      </c>
      <c r="D53" s="18">
        <v>8</v>
      </c>
      <c r="E53" s="18">
        <v>9</v>
      </c>
      <c r="F53" s="18">
        <v>6</v>
      </c>
      <c r="G53" s="18">
        <v>6</v>
      </c>
      <c r="H53" s="18">
        <v>8</v>
      </c>
      <c r="I53" s="18">
        <v>8</v>
      </c>
      <c r="J53" s="18">
        <v>8</v>
      </c>
      <c r="K53" s="18">
        <v>6</v>
      </c>
      <c r="L53" s="18">
        <v>5</v>
      </c>
      <c r="M53" s="18">
        <v>187</v>
      </c>
      <c r="N53" s="75">
        <f t="shared" si="2"/>
        <v>258</v>
      </c>
      <c r="P53" s="133"/>
    </row>
    <row r="54" spans="2:27" x14ac:dyDescent="0.25">
      <c r="B54" s="17">
        <v>8</v>
      </c>
      <c r="C54" s="18">
        <v>7</v>
      </c>
      <c r="D54" s="18">
        <v>8</v>
      </c>
      <c r="E54" s="18">
        <v>10</v>
      </c>
      <c r="F54" s="18">
        <v>8</v>
      </c>
      <c r="G54" s="18">
        <v>10</v>
      </c>
      <c r="H54" s="18">
        <v>1</v>
      </c>
      <c r="I54" s="18">
        <v>0</v>
      </c>
      <c r="J54" s="18">
        <v>0</v>
      </c>
      <c r="K54" s="18">
        <v>0</v>
      </c>
      <c r="L54" s="18">
        <v>0</v>
      </c>
      <c r="M54" s="18">
        <v>0</v>
      </c>
      <c r="N54" s="75">
        <f t="shared" si="2"/>
        <v>44</v>
      </c>
      <c r="P54" s="133"/>
    </row>
    <row r="55" spans="2:27" x14ac:dyDescent="0.25">
      <c r="B55" s="17">
        <v>9</v>
      </c>
      <c r="C55" s="18">
        <v>7</v>
      </c>
      <c r="D55" s="18">
        <v>8</v>
      </c>
      <c r="E55" s="18">
        <v>8</v>
      </c>
      <c r="F55" s="18">
        <v>6</v>
      </c>
      <c r="G55" s="18">
        <v>6</v>
      </c>
      <c r="H55" s="18">
        <v>0</v>
      </c>
      <c r="I55" s="18">
        <v>0</v>
      </c>
      <c r="J55" s="18">
        <v>0</v>
      </c>
      <c r="K55" s="18">
        <v>0</v>
      </c>
      <c r="L55" s="18">
        <v>0</v>
      </c>
      <c r="M55" s="18">
        <v>62</v>
      </c>
      <c r="N55" s="75">
        <f t="shared" si="2"/>
        <v>97</v>
      </c>
      <c r="P55" s="133"/>
    </row>
    <row r="56" spans="2:27" x14ac:dyDescent="0.25">
      <c r="B56" s="17">
        <v>10</v>
      </c>
      <c r="C56" s="18">
        <v>7</v>
      </c>
      <c r="D56" s="18">
        <v>8</v>
      </c>
      <c r="E56" s="18">
        <v>8</v>
      </c>
      <c r="F56" s="18">
        <v>6</v>
      </c>
      <c r="G56" s="18">
        <v>6</v>
      </c>
      <c r="H56" s="18">
        <v>7</v>
      </c>
      <c r="I56" s="18">
        <v>8</v>
      </c>
      <c r="J56" s="18">
        <v>7</v>
      </c>
      <c r="K56" s="18">
        <v>7</v>
      </c>
      <c r="L56" s="18">
        <v>7</v>
      </c>
      <c r="M56" s="18">
        <v>8</v>
      </c>
      <c r="N56" s="75">
        <f t="shared" si="2"/>
        <v>79</v>
      </c>
      <c r="P56" s="133"/>
    </row>
    <row r="57" spans="2:27" x14ac:dyDescent="0.25">
      <c r="B57" s="17">
        <v>11</v>
      </c>
      <c r="C57" s="18">
        <v>7</v>
      </c>
      <c r="D57" s="18">
        <v>8</v>
      </c>
      <c r="E57" s="18">
        <v>0</v>
      </c>
      <c r="F57" s="18">
        <v>0</v>
      </c>
      <c r="G57" s="18">
        <v>0</v>
      </c>
      <c r="H57" s="18">
        <v>0</v>
      </c>
      <c r="I57" s="18">
        <v>0</v>
      </c>
      <c r="J57" s="18">
        <v>0</v>
      </c>
      <c r="K57" s="18">
        <v>0</v>
      </c>
      <c r="L57" s="18">
        <v>0</v>
      </c>
      <c r="M57" s="18">
        <v>0</v>
      </c>
      <c r="N57" s="75">
        <f t="shared" si="2"/>
        <v>15</v>
      </c>
      <c r="P57" s="133"/>
    </row>
    <row r="58" spans="2:27" x14ac:dyDescent="0.25">
      <c r="B58" s="17">
        <v>12</v>
      </c>
      <c r="C58" s="18">
        <v>6</v>
      </c>
      <c r="D58" s="18">
        <v>8</v>
      </c>
      <c r="E58" s="18">
        <v>3</v>
      </c>
      <c r="F58" s="18">
        <v>2</v>
      </c>
      <c r="G58" s="18">
        <v>0</v>
      </c>
      <c r="H58" s="18">
        <v>0</v>
      </c>
      <c r="I58" s="18">
        <v>0</v>
      </c>
      <c r="J58" s="18">
        <v>1</v>
      </c>
      <c r="K58" s="18">
        <v>0</v>
      </c>
      <c r="L58" s="18">
        <v>0</v>
      </c>
      <c r="M58" s="18">
        <v>162</v>
      </c>
      <c r="N58" s="75">
        <f t="shared" si="2"/>
        <v>182</v>
      </c>
      <c r="P58" s="133"/>
    </row>
    <row r="59" spans="2:27" x14ac:dyDescent="0.25">
      <c r="B59" s="17">
        <v>13</v>
      </c>
      <c r="C59" s="18">
        <v>7</v>
      </c>
      <c r="D59" s="18">
        <v>8</v>
      </c>
      <c r="E59" s="18">
        <v>7</v>
      </c>
      <c r="F59" s="18">
        <v>6</v>
      </c>
      <c r="G59" s="18">
        <v>7</v>
      </c>
      <c r="H59" s="18">
        <v>4</v>
      </c>
      <c r="I59" s="18">
        <v>2</v>
      </c>
      <c r="J59" s="18">
        <v>3</v>
      </c>
      <c r="K59" s="18">
        <v>5</v>
      </c>
      <c r="L59" s="18">
        <v>5</v>
      </c>
      <c r="M59" s="18">
        <v>242</v>
      </c>
      <c r="N59" s="75">
        <f t="shared" si="2"/>
        <v>296</v>
      </c>
      <c r="P59" s="133"/>
    </row>
    <row r="60" spans="2:27" x14ac:dyDescent="0.25">
      <c r="B60" s="17">
        <v>14</v>
      </c>
      <c r="C60" s="149">
        <v>7</v>
      </c>
      <c r="D60" s="149">
        <v>8</v>
      </c>
      <c r="E60" s="149">
        <v>1</v>
      </c>
      <c r="F60" s="149">
        <v>2</v>
      </c>
      <c r="G60" s="149">
        <v>1</v>
      </c>
      <c r="H60" s="149">
        <v>1</v>
      </c>
      <c r="I60" s="149">
        <v>0</v>
      </c>
      <c r="J60" s="149">
        <v>0</v>
      </c>
      <c r="K60" s="149">
        <v>0</v>
      </c>
      <c r="L60" s="149">
        <v>0</v>
      </c>
      <c r="M60" s="149">
        <v>0</v>
      </c>
      <c r="N60" s="149">
        <f t="shared" si="2"/>
        <v>20</v>
      </c>
      <c r="AA60" s="46"/>
    </row>
    <row r="61" spans="2:27" x14ac:dyDescent="0.25">
      <c r="B61" s="17">
        <v>15</v>
      </c>
      <c r="C61" s="149">
        <v>6</v>
      </c>
      <c r="D61" s="149">
        <v>8</v>
      </c>
      <c r="E61" s="149">
        <v>3</v>
      </c>
      <c r="F61" s="149">
        <v>2</v>
      </c>
      <c r="G61" s="149">
        <v>0</v>
      </c>
      <c r="H61" s="149">
        <v>0</v>
      </c>
      <c r="I61" s="149">
        <v>0</v>
      </c>
      <c r="J61" s="149">
        <v>0</v>
      </c>
      <c r="K61" s="149">
        <v>0</v>
      </c>
      <c r="L61" s="149">
        <v>0</v>
      </c>
      <c r="M61" s="149">
        <v>37</v>
      </c>
      <c r="N61" s="149">
        <f t="shared" si="2"/>
        <v>56</v>
      </c>
      <c r="AA61" s="46"/>
    </row>
    <row r="62" spans="2:27" x14ac:dyDescent="0.25">
      <c r="B62" s="17">
        <v>16</v>
      </c>
      <c r="C62" s="149">
        <v>6</v>
      </c>
      <c r="D62" s="149">
        <v>8</v>
      </c>
      <c r="E62" s="149">
        <v>3</v>
      </c>
      <c r="F62" s="149">
        <v>2</v>
      </c>
      <c r="G62" s="149">
        <v>0</v>
      </c>
      <c r="H62" s="149">
        <v>0</v>
      </c>
      <c r="I62" s="149">
        <v>0</v>
      </c>
      <c r="J62" s="149">
        <v>0</v>
      </c>
      <c r="K62" s="149">
        <v>0</v>
      </c>
      <c r="L62" s="149">
        <v>0</v>
      </c>
      <c r="M62" s="149">
        <v>0</v>
      </c>
      <c r="N62" s="149">
        <f t="shared" si="2"/>
        <v>19</v>
      </c>
      <c r="AA62" s="46"/>
    </row>
    <row r="63" spans="2:27" x14ac:dyDescent="0.25">
      <c r="B63" s="17">
        <v>17</v>
      </c>
      <c r="C63" s="149">
        <v>6</v>
      </c>
      <c r="D63" s="149">
        <v>8</v>
      </c>
      <c r="E63" s="149">
        <v>3</v>
      </c>
      <c r="F63" s="149">
        <v>2</v>
      </c>
      <c r="G63" s="149">
        <v>0</v>
      </c>
      <c r="H63" s="149">
        <v>0</v>
      </c>
      <c r="I63" s="149">
        <v>0</v>
      </c>
      <c r="J63" s="149">
        <v>1</v>
      </c>
      <c r="K63" s="149">
        <v>0</v>
      </c>
      <c r="L63" s="149">
        <v>0</v>
      </c>
      <c r="M63" s="149">
        <v>0</v>
      </c>
      <c r="N63" s="149">
        <f t="shared" si="2"/>
        <v>20</v>
      </c>
      <c r="AA63" s="46"/>
    </row>
    <row r="117" spans="2:4" x14ac:dyDescent="0.25">
      <c r="B117" s="78"/>
      <c r="C117" s="79"/>
      <c r="D117" s="79"/>
    </row>
    <row r="118" spans="2:4" x14ac:dyDescent="0.25">
      <c r="B118" s="80"/>
      <c r="C118" s="81"/>
      <c r="D118" s="81"/>
    </row>
    <row r="119" spans="2:4" x14ac:dyDescent="0.25">
      <c r="B119" s="82"/>
      <c r="C119" s="83"/>
      <c r="D119" s="83"/>
    </row>
    <row r="120" spans="2:4" x14ac:dyDescent="0.25">
      <c r="B120" s="84"/>
      <c r="C120" s="85"/>
      <c r="D120" s="85"/>
    </row>
    <row r="121" spans="2:4" x14ac:dyDescent="0.25">
      <c r="B121" s="84"/>
      <c r="C121" s="85"/>
      <c r="D121" s="85"/>
    </row>
    <row r="122" spans="2:4" x14ac:dyDescent="0.25">
      <c r="B122" s="84"/>
      <c r="C122" s="85"/>
      <c r="D122" s="85"/>
    </row>
    <row r="123" spans="2:4" x14ac:dyDescent="0.25">
      <c r="B123" s="84"/>
      <c r="C123" s="85"/>
      <c r="D123" s="85"/>
    </row>
    <row r="124" spans="2:4" x14ac:dyDescent="0.25">
      <c r="B124" s="84"/>
      <c r="C124" s="85"/>
      <c r="D124" s="85"/>
    </row>
    <row r="125" spans="2:4" x14ac:dyDescent="0.25">
      <c r="B125" s="84"/>
      <c r="C125" s="85"/>
      <c r="D125" s="85"/>
    </row>
    <row r="126" spans="2:4" x14ac:dyDescent="0.25">
      <c r="B126" s="84"/>
      <c r="C126" s="85"/>
      <c r="D126" s="85"/>
    </row>
    <row r="127" spans="2:4" x14ac:dyDescent="0.25">
      <c r="B127" s="84"/>
      <c r="C127" s="85"/>
      <c r="D127" s="85"/>
    </row>
    <row r="128" spans="2:4" x14ac:dyDescent="0.25">
      <c r="B128" s="84"/>
      <c r="C128" s="85"/>
      <c r="D128" s="85"/>
    </row>
    <row r="129" spans="2:6" x14ac:dyDescent="0.25">
      <c r="B129" s="84"/>
      <c r="C129" s="85"/>
      <c r="D129" s="85"/>
    </row>
    <row r="130" spans="2:6" x14ac:dyDescent="0.25">
      <c r="B130" s="84"/>
      <c r="C130" s="85"/>
      <c r="D130" s="85"/>
      <c r="F130" s="77"/>
    </row>
    <row r="131" spans="2:6" x14ac:dyDescent="0.25">
      <c r="B131" s="79"/>
      <c r="C131" s="79"/>
      <c r="D131" s="79"/>
    </row>
    <row r="132" spans="2:6" x14ac:dyDescent="0.25">
      <c r="B132" s="79"/>
      <c r="C132" s="86"/>
      <c r="D132" s="86"/>
    </row>
  </sheetData>
  <pageMargins left="0.7" right="0.7" top="0.75" bottom="0.75" header="0.3" footer="0.3"/>
  <ignoredErrors>
    <ignoredError sqref="N6:N22 N47:N63" formulaRange="1"/>
  </ignoredErrors>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47D711-0542-4C7B-A5E9-0EBCAA065D0B}">
  <dimension ref="A1:AF146"/>
  <sheetViews>
    <sheetView topLeftCell="A53" workbookViewId="0">
      <selection activeCell="D81" sqref="D81"/>
    </sheetView>
  </sheetViews>
  <sheetFormatPr defaultColWidth="9.140625" defaultRowHeight="15" x14ac:dyDescent="0.25"/>
  <cols>
    <col min="1" max="1" width="14.5703125" customWidth="1"/>
    <col min="2" max="2" width="13" customWidth="1"/>
    <col min="3" max="32" width="11" customWidth="1"/>
  </cols>
  <sheetData>
    <row r="1" spans="1:32" x14ac:dyDescent="0.25">
      <c r="B1" s="1" t="s">
        <v>96</v>
      </c>
      <c r="F1" s="109"/>
    </row>
    <row r="3" spans="1:32" x14ac:dyDescent="0.25">
      <c r="A3" s="1"/>
    </row>
    <row r="5" spans="1:32" x14ac:dyDescent="0.25">
      <c r="B5" s="1" t="s">
        <v>97</v>
      </c>
    </row>
    <row r="6" spans="1:32" x14ac:dyDescent="0.25">
      <c r="A6" s="13"/>
      <c r="B6" s="112">
        <v>2005</v>
      </c>
      <c r="C6" s="112">
        <v>2006</v>
      </c>
      <c r="D6" s="112">
        <v>2007</v>
      </c>
      <c r="E6" s="112">
        <v>2008</v>
      </c>
      <c r="F6" s="112">
        <v>2009</v>
      </c>
      <c r="G6" s="112">
        <v>2010</v>
      </c>
      <c r="H6" s="112">
        <v>2011</v>
      </c>
      <c r="I6" s="112">
        <v>2012</v>
      </c>
      <c r="J6" s="112">
        <v>2013</v>
      </c>
      <c r="K6" s="112">
        <v>2014</v>
      </c>
      <c r="L6" s="112">
        <v>2015</v>
      </c>
      <c r="M6" s="112">
        <v>2016</v>
      </c>
      <c r="N6" s="112">
        <v>2017</v>
      </c>
      <c r="O6" s="112">
        <v>2018</v>
      </c>
      <c r="P6" s="112">
        <v>2019</v>
      </c>
      <c r="Q6" s="112">
        <v>2020</v>
      </c>
      <c r="R6" s="112">
        <v>2021</v>
      </c>
      <c r="S6" s="112">
        <v>2022</v>
      </c>
      <c r="T6" s="112">
        <v>2023</v>
      </c>
      <c r="U6" s="112">
        <v>2024</v>
      </c>
      <c r="V6" s="112">
        <v>2025</v>
      </c>
      <c r="W6" s="112">
        <v>2026</v>
      </c>
      <c r="X6" s="112">
        <v>2027</v>
      </c>
      <c r="Y6" s="112">
        <v>2028</v>
      </c>
      <c r="Z6" s="112">
        <v>2029</v>
      </c>
      <c r="AA6" s="112">
        <v>2030</v>
      </c>
      <c r="AB6" s="112">
        <v>2031</v>
      </c>
      <c r="AC6" s="112">
        <v>2032</v>
      </c>
      <c r="AD6" s="112">
        <v>2033</v>
      </c>
      <c r="AE6" s="112">
        <v>2034</v>
      </c>
      <c r="AF6" s="112">
        <v>2035</v>
      </c>
    </row>
    <row r="7" spans="1:32" x14ac:dyDescent="0.25">
      <c r="A7" s="113" t="s">
        <v>98</v>
      </c>
      <c r="B7" s="19">
        <v>5538227.0540343374</v>
      </c>
      <c r="C7" s="19">
        <v>5424337.4368431848</v>
      </c>
      <c r="D7" s="19">
        <v>6064444.2869218951</v>
      </c>
      <c r="E7" s="19">
        <v>5854338.0868445672</v>
      </c>
      <c r="F7" s="19">
        <v>5468898.044364851</v>
      </c>
      <c r="G7" s="19">
        <v>5083094.3890962563</v>
      </c>
      <c r="H7" s="19">
        <v>5815870.8990202267</v>
      </c>
      <c r="I7" s="19">
        <v>4619034.8807221493</v>
      </c>
      <c r="J7" s="19">
        <v>4859501.7675347999</v>
      </c>
      <c r="K7" s="19">
        <v>4288942.8142535202</v>
      </c>
      <c r="L7" s="19">
        <v>4432697.9632721627</v>
      </c>
      <c r="M7" s="19">
        <v>4710300.8171966393</v>
      </c>
      <c r="N7" s="19">
        <v>5151368.7766072359</v>
      </c>
      <c r="O7" s="19">
        <v>5353632.8</v>
      </c>
      <c r="P7" s="19">
        <v>4418950.1100551728</v>
      </c>
      <c r="Q7" s="19">
        <v>4476372.4399814997</v>
      </c>
      <c r="R7" s="19">
        <v>4438116.7082320005</v>
      </c>
      <c r="S7" s="19">
        <v>3541928.1749746399</v>
      </c>
      <c r="T7" s="19">
        <v>2709373.7094859798</v>
      </c>
      <c r="U7" s="20"/>
      <c r="V7" s="20"/>
      <c r="W7" s="20"/>
      <c r="X7" s="20"/>
      <c r="Y7" s="20"/>
      <c r="Z7" s="20"/>
      <c r="AA7" s="20"/>
      <c r="AB7" s="20"/>
      <c r="AC7" s="20"/>
      <c r="AD7" s="20"/>
      <c r="AE7" s="20"/>
      <c r="AF7" s="20"/>
    </row>
    <row r="8" spans="1:32" x14ac:dyDescent="0.25">
      <c r="A8" s="4">
        <v>14</v>
      </c>
      <c r="B8" s="19"/>
      <c r="C8" s="21"/>
      <c r="D8" s="21"/>
      <c r="E8" s="21"/>
      <c r="F8" s="21"/>
      <c r="G8" s="21"/>
      <c r="H8" s="21"/>
      <c r="I8" s="21"/>
      <c r="J8" s="21"/>
      <c r="K8" s="21"/>
      <c r="L8" s="21"/>
      <c r="M8" s="21"/>
      <c r="N8" s="21"/>
      <c r="O8" s="21"/>
      <c r="P8" s="21"/>
      <c r="Q8" s="21"/>
      <c r="R8" s="21"/>
      <c r="S8" s="21"/>
      <c r="T8" s="19">
        <v>2709373.7094859798</v>
      </c>
      <c r="U8" s="22">
        <v>2700000</v>
      </c>
      <c r="V8" s="154">
        <v>411085.4576793976</v>
      </c>
      <c r="W8" s="154">
        <v>475710.78653724032</v>
      </c>
      <c r="X8" s="154">
        <v>527555.56563548942</v>
      </c>
      <c r="Y8" s="154">
        <v>542899.84577701171</v>
      </c>
      <c r="Z8" s="154">
        <v>556870.18053161574</v>
      </c>
      <c r="AA8" s="154">
        <v>610146.51183888235</v>
      </c>
      <c r="AB8" s="154">
        <v>672348.27179533709</v>
      </c>
      <c r="AC8" s="154">
        <v>713986.21065045812</v>
      </c>
      <c r="AD8" s="154">
        <v>767266.17073392007</v>
      </c>
      <c r="AE8" s="154">
        <v>756211.55765218183</v>
      </c>
      <c r="AF8" s="154">
        <v>752013.97078835173</v>
      </c>
    </row>
    <row r="9" spans="1:32" x14ac:dyDescent="0.25">
      <c r="A9" s="4">
        <v>15</v>
      </c>
      <c r="B9" s="19"/>
      <c r="C9" s="21"/>
      <c r="D9" s="21"/>
      <c r="E9" s="21"/>
      <c r="F9" s="21"/>
      <c r="G9" s="21"/>
      <c r="H9" s="21"/>
      <c r="I9" s="21"/>
      <c r="J9" s="21"/>
      <c r="K9" s="21"/>
      <c r="L9" s="21"/>
      <c r="M9" s="21"/>
      <c r="N9" s="21"/>
      <c r="O9" s="21"/>
      <c r="P9" s="21"/>
      <c r="Q9" s="21"/>
      <c r="R9" s="21"/>
      <c r="S9" s="21"/>
      <c r="T9" s="19">
        <v>2709373.7094859798</v>
      </c>
      <c r="U9" s="22">
        <v>2700000</v>
      </c>
      <c r="V9" s="22">
        <v>410090</v>
      </c>
      <c r="W9" s="22">
        <v>445606</v>
      </c>
      <c r="X9" s="22">
        <v>455735</v>
      </c>
      <c r="Y9" s="22">
        <v>439365</v>
      </c>
      <c r="Z9" s="22">
        <v>417639</v>
      </c>
      <c r="AA9" s="22">
        <v>401259</v>
      </c>
      <c r="AB9" s="22">
        <v>416393</v>
      </c>
      <c r="AC9" s="22">
        <v>417238</v>
      </c>
      <c r="AD9" s="22">
        <v>422380</v>
      </c>
      <c r="AE9" s="22">
        <v>396191</v>
      </c>
      <c r="AF9" s="22" t="s">
        <v>99</v>
      </c>
    </row>
    <row r="10" spans="1:32" x14ac:dyDescent="0.25">
      <c r="A10" s="4">
        <v>16</v>
      </c>
      <c r="B10" s="19"/>
      <c r="C10" s="21"/>
      <c r="D10" s="21"/>
      <c r="E10" s="21"/>
      <c r="F10" s="21"/>
      <c r="G10" s="21"/>
      <c r="H10" s="21"/>
      <c r="I10" s="21"/>
      <c r="J10" s="21"/>
      <c r="K10" s="21"/>
      <c r="L10" s="21"/>
      <c r="M10" s="21"/>
      <c r="N10" s="21"/>
      <c r="O10" s="21"/>
      <c r="P10" s="21"/>
      <c r="Q10" s="21"/>
      <c r="R10" s="21"/>
      <c r="S10" s="21"/>
      <c r="T10" s="19">
        <v>2709373.7094859798</v>
      </c>
      <c r="U10" s="22">
        <v>2700000</v>
      </c>
      <c r="V10" s="22">
        <v>410090</v>
      </c>
      <c r="W10" s="22">
        <v>445606</v>
      </c>
      <c r="X10" s="22">
        <v>455735</v>
      </c>
      <c r="Y10" s="22">
        <v>439365</v>
      </c>
      <c r="Z10" s="22">
        <v>417639</v>
      </c>
      <c r="AA10" s="22">
        <v>401259</v>
      </c>
      <c r="AB10" s="22">
        <v>416393</v>
      </c>
      <c r="AC10" s="22">
        <v>417238</v>
      </c>
      <c r="AD10" s="22">
        <v>424392</v>
      </c>
      <c r="AE10" s="22">
        <v>395705</v>
      </c>
      <c r="AF10" s="22">
        <v>625543</v>
      </c>
    </row>
    <row r="11" spans="1:32" x14ac:dyDescent="0.25">
      <c r="A11" s="4">
        <v>17</v>
      </c>
      <c r="B11" s="19"/>
      <c r="C11" s="21"/>
      <c r="D11" s="21"/>
      <c r="E11" s="21"/>
      <c r="F11" s="21"/>
      <c r="G11" s="21"/>
      <c r="H11" s="21"/>
      <c r="I11" s="21"/>
      <c r="J11" s="21"/>
      <c r="K11" s="21"/>
      <c r="L11" s="21"/>
      <c r="M11" s="21"/>
      <c r="N11" s="21"/>
      <c r="O11" s="21"/>
      <c r="P11" s="21"/>
      <c r="Q11" s="21"/>
      <c r="R11" s="21"/>
      <c r="S11" s="21"/>
      <c r="T11" s="19">
        <v>2709373.7094859798</v>
      </c>
      <c r="U11" s="22">
        <v>2700000</v>
      </c>
      <c r="V11" s="22">
        <v>410090</v>
      </c>
      <c r="W11" s="22">
        <v>445606</v>
      </c>
      <c r="X11" s="22">
        <v>455735</v>
      </c>
      <c r="Y11" s="22">
        <v>439365</v>
      </c>
      <c r="Z11" s="22">
        <v>417639</v>
      </c>
      <c r="AA11" s="22">
        <v>401259</v>
      </c>
      <c r="AB11" s="22">
        <v>427014</v>
      </c>
      <c r="AC11" s="22">
        <v>425485</v>
      </c>
      <c r="AD11" s="22">
        <v>434588</v>
      </c>
      <c r="AE11" s="22">
        <v>404813</v>
      </c>
      <c r="AF11" s="22">
        <v>640958</v>
      </c>
    </row>
    <row r="39" spans="1:3" x14ac:dyDescent="0.25">
      <c r="B39" t="s">
        <v>100</v>
      </c>
    </row>
    <row r="40" spans="1:3" x14ac:dyDescent="0.25">
      <c r="A40" s="13"/>
      <c r="B40" s="13" t="s">
        <v>101</v>
      </c>
      <c r="C40" s="161"/>
    </row>
    <row r="41" spans="1:3" x14ac:dyDescent="0.25">
      <c r="A41" s="4">
        <v>1</v>
      </c>
      <c r="B41" s="23">
        <v>14.3</v>
      </c>
      <c r="C41" s="79"/>
    </row>
    <row r="42" spans="1:3" x14ac:dyDescent="0.25">
      <c r="A42" s="4">
        <v>2</v>
      </c>
      <c r="B42" s="23">
        <v>5.8</v>
      </c>
      <c r="C42" s="79"/>
    </row>
    <row r="43" spans="1:3" x14ac:dyDescent="0.25">
      <c r="A43" s="4">
        <v>3</v>
      </c>
      <c r="B43" s="23">
        <v>26.6</v>
      </c>
      <c r="C43" s="79"/>
    </row>
    <row r="44" spans="1:3" x14ac:dyDescent="0.25">
      <c r="A44" s="4">
        <v>4</v>
      </c>
      <c r="B44" s="23">
        <v>40.4</v>
      </c>
      <c r="C44" s="79"/>
    </row>
    <row r="45" spans="1:3" x14ac:dyDescent="0.25">
      <c r="A45" s="4">
        <v>5</v>
      </c>
      <c r="B45" s="23">
        <v>5.8</v>
      </c>
      <c r="C45" s="79"/>
    </row>
    <row r="46" spans="1:3" x14ac:dyDescent="0.25">
      <c r="A46" s="4">
        <v>6</v>
      </c>
      <c r="B46" s="23">
        <v>5.7</v>
      </c>
      <c r="C46" s="79"/>
    </row>
    <row r="47" spans="1:3" x14ac:dyDescent="0.25">
      <c r="A47" s="4">
        <v>7</v>
      </c>
      <c r="B47" s="23">
        <v>5.6</v>
      </c>
      <c r="C47" s="79"/>
    </row>
    <row r="48" spans="1:3" x14ac:dyDescent="0.25">
      <c r="A48" s="4">
        <v>8</v>
      </c>
      <c r="B48" s="23">
        <v>9</v>
      </c>
      <c r="C48" s="79"/>
    </row>
    <row r="49" spans="1:12" x14ac:dyDescent="0.25">
      <c r="A49" s="4">
        <v>9</v>
      </c>
      <c r="B49" s="23">
        <v>8.1999999999999993</v>
      </c>
      <c r="C49" s="79"/>
      <c r="E49" s="27"/>
    </row>
    <row r="50" spans="1:12" x14ac:dyDescent="0.25">
      <c r="A50" s="4">
        <v>10</v>
      </c>
      <c r="B50" s="23">
        <v>6.3</v>
      </c>
      <c r="C50" s="79"/>
    </row>
    <row r="51" spans="1:12" x14ac:dyDescent="0.25">
      <c r="A51" s="4">
        <v>11</v>
      </c>
      <c r="B51" s="23">
        <v>24.5</v>
      </c>
      <c r="C51" s="79"/>
    </row>
    <row r="52" spans="1:12" x14ac:dyDescent="0.25">
      <c r="A52" s="4">
        <v>12</v>
      </c>
      <c r="B52" s="23">
        <v>4.3</v>
      </c>
      <c r="C52" s="79"/>
    </row>
    <row r="53" spans="1:12" x14ac:dyDescent="0.25">
      <c r="A53" s="4">
        <v>13</v>
      </c>
      <c r="B53" s="23">
        <v>4.4000000000000004</v>
      </c>
      <c r="C53" s="79"/>
    </row>
    <row r="54" spans="1:12" x14ac:dyDescent="0.25">
      <c r="A54" s="4">
        <v>14</v>
      </c>
      <c r="B54" s="145">
        <v>6.786094529619886</v>
      </c>
      <c r="C54" s="79"/>
    </row>
    <row r="55" spans="1:12" x14ac:dyDescent="0.25">
      <c r="A55" s="4">
        <v>15</v>
      </c>
      <c r="B55" s="145">
        <v>4.2</v>
      </c>
      <c r="C55" s="79"/>
    </row>
    <row r="56" spans="1:12" x14ac:dyDescent="0.25">
      <c r="A56" s="4">
        <v>16</v>
      </c>
      <c r="B56" s="145">
        <v>4.8</v>
      </c>
      <c r="C56" s="79"/>
    </row>
    <row r="57" spans="1:12" x14ac:dyDescent="0.25">
      <c r="A57" s="4">
        <v>17</v>
      </c>
      <c r="B57" s="145">
        <v>4.9000000000000004</v>
      </c>
      <c r="C57" s="79"/>
    </row>
    <row r="60" spans="1:12" x14ac:dyDescent="0.25">
      <c r="B60" s="174" t="s">
        <v>102</v>
      </c>
      <c r="C60" s="174"/>
      <c r="D60" s="174"/>
      <c r="E60" s="174"/>
      <c r="F60" s="174"/>
      <c r="G60" s="174"/>
      <c r="H60" s="174"/>
      <c r="I60" s="174"/>
      <c r="J60" s="174"/>
      <c r="K60" s="174"/>
      <c r="L60" s="174"/>
    </row>
    <row r="61" spans="1:12" x14ac:dyDescent="0.25">
      <c r="B61" s="114" t="s">
        <v>103</v>
      </c>
      <c r="C61" s="114" t="s">
        <v>104</v>
      </c>
      <c r="D61" s="114" t="s">
        <v>105</v>
      </c>
      <c r="E61" s="114" t="s">
        <v>106</v>
      </c>
      <c r="F61" s="114" t="s">
        <v>107</v>
      </c>
      <c r="G61" s="114" t="s">
        <v>108</v>
      </c>
      <c r="H61" s="114" t="s">
        <v>109</v>
      </c>
      <c r="I61" s="114" t="s">
        <v>110</v>
      </c>
      <c r="J61" s="114" t="s">
        <v>111</v>
      </c>
      <c r="K61" s="114" t="s">
        <v>112</v>
      </c>
      <c r="L61" s="114" t="s">
        <v>113</v>
      </c>
    </row>
    <row r="62" spans="1:12" ht="15.75" x14ac:dyDescent="0.25">
      <c r="A62" s="115" t="s">
        <v>75</v>
      </c>
      <c r="B62" s="18">
        <v>40.370135171913276</v>
      </c>
      <c r="C62" s="18">
        <v>45.813299464755517</v>
      </c>
      <c r="D62" s="18">
        <v>52.617254830808314</v>
      </c>
      <c r="E62" s="18">
        <v>55.338836977229434</v>
      </c>
      <c r="F62" s="18">
        <v>55.338836977229434</v>
      </c>
      <c r="G62" s="18">
        <v>60.782001270071667</v>
      </c>
      <c r="H62" s="18">
        <v>70.307538782545592</v>
      </c>
      <c r="I62" s="18">
        <v>78.018688197405424</v>
      </c>
      <c r="J62" s="18">
        <v>85.27624058786175</v>
      </c>
      <c r="K62" s="18">
        <v>84.369046539054708</v>
      </c>
      <c r="L62" s="18">
        <v>82.554658441440623</v>
      </c>
    </row>
    <row r="63" spans="1:12" ht="15.75" x14ac:dyDescent="0.25">
      <c r="A63" s="115" t="s">
        <v>76</v>
      </c>
      <c r="B63" s="173">
        <v>40.370135171913276</v>
      </c>
      <c r="C63" s="173">
        <v>43.091717318334396</v>
      </c>
      <c r="D63" s="173">
        <v>44.906105415948474</v>
      </c>
      <c r="E63" s="173">
        <v>43.998911367141432</v>
      </c>
      <c r="F63" s="173">
        <v>41.730926245123833</v>
      </c>
      <c r="G63" s="173">
        <v>38.10215004989567</v>
      </c>
      <c r="H63" s="173">
        <v>45.359702440351995</v>
      </c>
      <c r="I63" s="173">
        <v>45.359702440351995</v>
      </c>
      <c r="J63" s="173">
        <v>47.174090537966073</v>
      </c>
      <c r="K63" s="173">
        <v>47.174090537966073</v>
      </c>
      <c r="L63" s="173">
        <v>0</v>
      </c>
    </row>
    <row r="64" spans="1:12" ht="15.75" x14ac:dyDescent="0.25">
      <c r="A64" s="115" t="s">
        <v>77</v>
      </c>
      <c r="B64" s="173">
        <v>40.370135171913276</v>
      </c>
      <c r="C64" s="173">
        <v>43.091717318334396</v>
      </c>
      <c r="D64" s="173">
        <v>44.906105415948474</v>
      </c>
      <c r="E64" s="173">
        <v>43.998911367141432</v>
      </c>
      <c r="F64" s="173">
        <v>41.730926245123833</v>
      </c>
      <c r="G64" s="173">
        <v>38.10215004989567</v>
      </c>
      <c r="H64" s="173">
        <v>45.359702440351995</v>
      </c>
      <c r="I64" s="173">
        <v>45.359702440351995</v>
      </c>
      <c r="J64" s="173">
        <v>48.081284586773108</v>
      </c>
      <c r="K64" s="173">
        <v>44.452508391544953</v>
      </c>
      <c r="L64" s="173">
        <v>67.132359611720958</v>
      </c>
    </row>
    <row r="65" spans="1:12" ht="15.75" x14ac:dyDescent="0.25">
      <c r="A65" s="115" t="s">
        <v>78</v>
      </c>
      <c r="B65" s="173">
        <v>40.370135171913276</v>
      </c>
      <c r="C65" s="173">
        <v>43.091717318334396</v>
      </c>
      <c r="D65" s="173">
        <v>44.906105415948474</v>
      </c>
      <c r="E65" s="173">
        <v>43.998911367141432</v>
      </c>
      <c r="F65" s="173">
        <v>41.730926245123833</v>
      </c>
      <c r="G65" s="173">
        <v>38.10215004989567</v>
      </c>
      <c r="H65" s="173">
        <v>45.813299464755517</v>
      </c>
      <c r="I65" s="173">
        <v>45.359702440351995</v>
      </c>
      <c r="J65" s="173">
        <v>49.442075659983672</v>
      </c>
      <c r="K65" s="173">
        <v>47.627687562369587</v>
      </c>
      <c r="L65" s="173">
        <v>70.307538782545592</v>
      </c>
    </row>
    <row r="70" spans="1:12" x14ac:dyDescent="0.25">
      <c r="A70" s="13"/>
      <c r="B70" s="13" t="s">
        <v>114</v>
      </c>
      <c r="C70" s="79"/>
    </row>
    <row r="71" spans="1:12" x14ac:dyDescent="0.25">
      <c r="A71" s="4">
        <v>1</v>
      </c>
      <c r="B71" s="120">
        <v>1596</v>
      </c>
      <c r="C71" s="79"/>
      <c r="D71" s="116"/>
    </row>
    <row r="72" spans="1:12" x14ac:dyDescent="0.25">
      <c r="A72" s="4">
        <v>2</v>
      </c>
      <c r="B72" s="50">
        <v>589</v>
      </c>
      <c r="C72" s="79"/>
      <c r="D72" s="116"/>
    </row>
    <row r="73" spans="1:12" x14ac:dyDescent="0.25">
      <c r="A73" s="4">
        <v>3</v>
      </c>
      <c r="B73" s="120">
        <v>3016</v>
      </c>
      <c r="C73" s="79"/>
      <c r="D73" s="116"/>
    </row>
    <row r="74" spans="1:12" x14ac:dyDescent="0.25">
      <c r="A74" s="4">
        <v>4</v>
      </c>
      <c r="B74" s="120">
        <v>8978</v>
      </c>
      <c r="C74" s="79"/>
      <c r="D74" s="116"/>
    </row>
    <row r="75" spans="1:12" x14ac:dyDescent="0.25">
      <c r="A75" s="4">
        <v>5</v>
      </c>
      <c r="B75" s="50">
        <v>599</v>
      </c>
      <c r="C75" s="79"/>
      <c r="D75" s="116"/>
    </row>
    <row r="76" spans="1:12" x14ac:dyDescent="0.25">
      <c r="A76" s="4">
        <v>6</v>
      </c>
      <c r="B76" s="50">
        <v>584</v>
      </c>
      <c r="C76" s="79"/>
      <c r="D76" s="116"/>
    </row>
    <row r="77" spans="1:12" x14ac:dyDescent="0.25">
      <c r="A77" s="4">
        <v>7</v>
      </c>
      <c r="B77" s="50">
        <v>573</v>
      </c>
      <c r="C77" s="79"/>
      <c r="D77" s="116"/>
    </row>
    <row r="78" spans="1:12" x14ac:dyDescent="0.25">
      <c r="A78" s="4">
        <v>8</v>
      </c>
      <c r="B78" s="120">
        <v>1730</v>
      </c>
      <c r="C78" s="79"/>
      <c r="D78" s="116"/>
    </row>
    <row r="79" spans="1:12" x14ac:dyDescent="0.25">
      <c r="A79" s="4">
        <v>9</v>
      </c>
      <c r="B79" s="120">
        <v>1355</v>
      </c>
      <c r="C79" s="79"/>
      <c r="D79" s="116"/>
    </row>
    <row r="80" spans="1:12" x14ac:dyDescent="0.25">
      <c r="A80" s="4">
        <v>10</v>
      </c>
      <c r="B80" s="50">
        <v>650</v>
      </c>
      <c r="C80" s="79"/>
      <c r="D80" s="116"/>
    </row>
    <row r="81" spans="1:12" x14ac:dyDescent="0.25">
      <c r="A81" s="4">
        <v>11</v>
      </c>
      <c r="B81" s="120">
        <v>5267</v>
      </c>
      <c r="C81" s="79"/>
      <c r="D81" s="116"/>
    </row>
    <row r="82" spans="1:12" x14ac:dyDescent="0.25">
      <c r="A82" s="4">
        <v>12</v>
      </c>
      <c r="B82" s="50">
        <v>440</v>
      </c>
      <c r="C82" s="79"/>
      <c r="D82" s="116"/>
    </row>
    <row r="83" spans="1:12" x14ac:dyDescent="0.25">
      <c r="A83" s="4">
        <v>13</v>
      </c>
      <c r="B83" s="50">
        <v>457</v>
      </c>
      <c r="C83" s="79"/>
      <c r="D83" s="116"/>
    </row>
    <row r="84" spans="1:12" x14ac:dyDescent="0.25">
      <c r="A84" s="4">
        <v>14</v>
      </c>
      <c r="B84" s="150">
        <v>710.78653724031574</v>
      </c>
      <c r="C84" s="79"/>
    </row>
    <row r="85" spans="1:12" x14ac:dyDescent="0.25">
      <c r="A85" s="4">
        <v>15</v>
      </c>
      <c r="B85" s="162">
        <v>437.26753152499327</v>
      </c>
      <c r="C85" s="79"/>
    </row>
    <row r="86" spans="1:12" x14ac:dyDescent="0.25">
      <c r="A86" s="4">
        <v>16</v>
      </c>
      <c r="B86" s="162">
        <v>502.5855030391001</v>
      </c>
      <c r="C86" s="79"/>
    </row>
    <row r="87" spans="1:12" x14ac:dyDescent="0.25">
      <c r="A87" s="4">
        <v>17</v>
      </c>
      <c r="B87" s="162">
        <v>510.75024947836351</v>
      </c>
      <c r="C87" s="79"/>
    </row>
    <row r="90" spans="1:12" x14ac:dyDescent="0.25">
      <c r="B90" s="174" t="s">
        <v>115</v>
      </c>
      <c r="C90" s="174"/>
      <c r="D90" s="174"/>
      <c r="E90" s="174"/>
      <c r="F90" s="174"/>
      <c r="G90" s="174"/>
      <c r="H90" s="174"/>
      <c r="I90" s="174"/>
      <c r="J90" s="174"/>
      <c r="K90" s="174"/>
      <c r="L90" s="174"/>
    </row>
    <row r="91" spans="1:12" x14ac:dyDescent="0.25">
      <c r="B91" s="114" t="s">
        <v>103</v>
      </c>
      <c r="C91" s="114" t="s">
        <v>104</v>
      </c>
      <c r="D91" s="114" t="s">
        <v>105</v>
      </c>
      <c r="E91" s="114" t="s">
        <v>106</v>
      </c>
      <c r="F91" s="114" t="s">
        <v>107</v>
      </c>
      <c r="G91" s="114" t="s">
        <v>108</v>
      </c>
      <c r="H91" s="114" t="s">
        <v>109</v>
      </c>
      <c r="I91" s="114" t="s">
        <v>110</v>
      </c>
      <c r="J91" s="114" t="s">
        <v>111</v>
      </c>
      <c r="K91" s="114" t="s">
        <v>112</v>
      </c>
      <c r="L91" s="114" t="s">
        <v>113</v>
      </c>
    </row>
    <row r="92" spans="1:12" ht="15.75" x14ac:dyDescent="0.25">
      <c r="A92" s="115" t="s">
        <v>75</v>
      </c>
      <c r="B92" s="18">
        <v>0.4535970244035199</v>
      </c>
      <c r="C92" s="18">
        <v>0.9071940488070398</v>
      </c>
      <c r="D92" s="18">
        <v>0.4535970244035199</v>
      </c>
      <c r="E92" s="18">
        <v>0</v>
      </c>
      <c r="F92" s="18">
        <v>0.4535970244035199</v>
      </c>
      <c r="G92" s="18">
        <v>0</v>
      </c>
      <c r="H92" s="18">
        <v>0</v>
      </c>
      <c r="I92" s="18">
        <v>0</v>
      </c>
      <c r="J92" s="18">
        <v>0</v>
      </c>
      <c r="K92" s="18">
        <v>0</v>
      </c>
      <c r="L92" s="18">
        <v>0</v>
      </c>
    </row>
    <row r="93" spans="1:12" ht="15.75" x14ac:dyDescent="0.25">
      <c r="A93" s="115" t="s">
        <v>76</v>
      </c>
      <c r="B93" s="173">
        <v>0</v>
      </c>
      <c r="C93" s="173">
        <v>0</v>
      </c>
      <c r="D93" s="173">
        <v>0</v>
      </c>
      <c r="E93" s="173">
        <v>0</v>
      </c>
      <c r="F93" s="173">
        <v>0</v>
      </c>
      <c r="G93" s="173">
        <v>0</v>
      </c>
      <c r="H93" s="173">
        <v>0</v>
      </c>
      <c r="I93" s="173">
        <v>0</v>
      </c>
      <c r="J93" s="173">
        <v>0</v>
      </c>
      <c r="K93" s="173">
        <v>0</v>
      </c>
      <c r="L93" s="173">
        <v>0</v>
      </c>
    </row>
    <row r="94" spans="1:12" ht="15.75" x14ac:dyDescent="0.25">
      <c r="A94" s="115" t="s">
        <v>77</v>
      </c>
      <c r="B94" s="173">
        <v>0</v>
      </c>
      <c r="C94" s="173">
        <v>0</v>
      </c>
      <c r="D94" s="173">
        <v>0</v>
      </c>
      <c r="E94" s="173">
        <v>0</v>
      </c>
      <c r="F94" s="173">
        <v>0</v>
      </c>
      <c r="G94" s="173">
        <v>0</v>
      </c>
      <c r="H94" s="173">
        <v>0</v>
      </c>
      <c r="I94" s="173">
        <v>0</v>
      </c>
      <c r="J94" s="173">
        <v>0</v>
      </c>
      <c r="K94" s="173">
        <v>0</v>
      </c>
      <c r="L94" s="173">
        <v>0</v>
      </c>
    </row>
    <row r="95" spans="1:12" ht="15.75" x14ac:dyDescent="0.25">
      <c r="A95" s="115" t="s">
        <v>78</v>
      </c>
      <c r="B95" s="173">
        <v>0</v>
      </c>
      <c r="C95" s="173">
        <v>0</v>
      </c>
      <c r="D95" s="173">
        <v>0</v>
      </c>
      <c r="E95" s="173">
        <v>0</v>
      </c>
      <c r="F95" s="173">
        <v>0</v>
      </c>
      <c r="G95" s="173">
        <v>0</v>
      </c>
      <c r="H95" s="173">
        <v>0</v>
      </c>
      <c r="I95" s="173">
        <v>0</v>
      </c>
      <c r="J95" s="173">
        <v>0</v>
      </c>
      <c r="K95" s="173">
        <v>0</v>
      </c>
      <c r="L95" s="173">
        <v>0</v>
      </c>
    </row>
    <row r="99" spans="1:3" x14ac:dyDescent="0.25">
      <c r="A99" s="13"/>
      <c r="B99" s="13" t="s">
        <v>116</v>
      </c>
      <c r="C99" s="79"/>
    </row>
    <row r="100" spans="1:3" x14ac:dyDescent="0.25">
      <c r="A100" s="4">
        <v>1</v>
      </c>
      <c r="B100" s="50">
        <v>49.4</v>
      </c>
      <c r="C100" s="79"/>
    </row>
    <row r="101" spans="1:3" x14ac:dyDescent="0.25">
      <c r="A101" s="4">
        <v>2</v>
      </c>
      <c r="B101" s="50">
        <v>8.1999999999999993</v>
      </c>
      <c r="C101" s="79"/>
    </row>
    <row r="102" spans="1:3" x14ac:dyDescent="0.25">
      <c r="A102" s="4">
        <v>3</v>
      </c>
      <c r="B102" s="50">
        <v>88</v>
      </c>
      <c r="C102" s="79"/>
    </row>
    <row r="103" spans="1:3" x14ac:dyDescent="0.25">
      <c r="A103" s="4">
        <v>4</v>
      </c>
      <c r="B103" s="121">
        <v>1036</v>
      </c>
      <c r="C103" s="79"/>
    </row>
    <row r="104" spans="1:3" x14ac:dyDescent="0.25">
      <c r="A104" s="4">
        <v>5</v>
      </c>
      <c r="B104" s="50">
        <v>6.8</v>
      </c>
      <c r="C104" s="79"/>
    </row>
    <row r="105" spans="1:3" x14ac:dyDescent="0.25">
      <c r="A105" s="4">
        <v>6</v>
      </c>
      <c r="B105" s="50">
        <v>3.6</v>
      </c>
      <c r="C105" s="79"/>
    </row>
    <row r="106" spans="1:3" x14ac:dyDescent="0.25">
      <c r="A106" s="4">
        <v>7</v>
      </c>
      <c r="B106" s="50">
        <v>3.6</v>
      </c>
      <c r="C106" s="79"/>
    </row>
    <row r="107" spans="1:3" x14ac:dyDescent="0.25">
      <c r="A107" s="4">
        <v>8</v>
      </c>
      <c r="B107" s="50">
        <v>20.399999999999999</v>
      </c>
      <c r="C107" s="79"/>
    </row>
    <row r="108" spans="1:3" x14ac:dyDescent="0.25">
      <c r="A108" s="4">
        <v>9</v>
      </c>
      <c r="B108" s="50">
        <v>17.2</v>
      </c>
      <c r="C108" s="79"/>
    </row>
    <row r="109" spans="1:3" x14ac:dyDescent="0.25">
      <c r="A109" s="4">
        <v>10</v>
      </c>
      <c r="B109" s="50">
        <v>3.6</v>
      </c>
      <c r="C109" s="79"/>
    </row>
    <row r="110" spans="1:3" x14ac:dyDescent="0.25">
      <c r="A110" s="4">
        <v>11</v>
      </c>
      <c r="B110" s="50">
        <v>561.6</v>
      </c>
      <c r="C110" s="79"/>
    </row>
    <row r="111" spans="1:3" x14ac:dyDescent="0.25">
      <c r="A111" s="4">
        <v>12</v>
      </c>
      <c r="B111" s="50">
        <v>0</v>
      </c>
      <c r="C111" s="79"/>
    </row>
    <row r="112" spans="1:3" x14ac:dyDescent="0.25">
      <c r="A112" s="4">
        <v>13</v>
      </c>
      <c r="B112" s="50">
        <v>0.9</v>
      </c>
      <c r="C112" s="79"/>
    </row>
    <row r="113" spans="1:12" x14ac:dyDescent="0.25">
      <c r="A113" s="4">
        <v>14</v>
      </c>
      <c r="B113" s="153">
        <v>2.2679851220175995</v>
      </c>
      <c r="C113" s="79"/>
    </row>
    <row r="114" spans="1:12" x14ac:dyDescent="0.25">
      <c r="A114" s="4">
        <v>15</v>
      </c>
      <c r="B114" s="151">
        <v>0</v>
      </c>
      <c r="C114" s="79"/>
    </row>
    <row r="115" spans="1:12" x14ac:dyDescent="0.25">
      <c r="A115" s="4">
        <v>16</v>
      </c>
      <c r="B115" s="151">
        <v>0</v>
      </c>
      <c r="C115" s="79"/>
    </row>
    <row r="116" spans="1:12" x14ac:dyDescent="0.25">
      <c r="A116" s="4">
        <v>17</v>
      </c>
      <c r="B116" s="151">
        <v>0</v>
      </c>
      <c r="C116" s="79"/>
    </row>
    <row r="119" spans="1:12" x14ac:dyDescent="0.25">
      <c r="A119" s="122" t="s">
        <v>117</v>
      </c>
    </row>
    <row r="121" spans="1:12" x14ac:dyDescent="0.25">
      <c r="A121" s="59" t="s">
        <v>118</v>
      </c>
      <c r="B121" s="117">
        <v>2025</v>
      </c>
      <c r="C121" s="117">
        <v>2026</v>
      </c>
      <c r="D121" s="117">
        <v>2027</v>
      </c>
      <c r="E121" s="117">
        <v>2028</v>
      </c>
      <c r="F121" s="117">
        <v>2029</v>
      </c>
      <c r="G121" s="117">
        <v>2030</v>
      </c>
      <c r="H121" s="117">
        <v>2031</v>
      </c>
      <c r="I121" s="117">
        <v>2032</v>
      </c>
      <c r="J121" s="117">
        <v>2033</v>
      </c>
      <c r="K121" s="117">
        <v>2034</v>
      </c>
      <c r="L121" s="117">
        <v>2035</v>
      </c>
    </row>
    <row r="122" spans="1:12" x14ac:dyDescent="0.25">
      <c r="A122" s="119" t="s">
        <v>75</v>
      </c>
      <c r="B122" s="155">
        <v>10.078864646647917</v>
      </c>
      <c r="C122" s="155">
        <v>11.820653088995737</v>
      </c>
      <c r="D122" s="155">
        <v>13.616018189240677</v>
      </c>
      <c r="E122" s="155">
        <v>14.147397895309807</v>
      </c>
      <c r="F122" s="155">
        <v>14.589739499228886</v>
      </c>
      <c r="G122" s="155">
        <v>16.495597251202032</v>
      </c>
      <c r="H122" s="155">
        <v>18.607400299374039</v>
      </c>
      <c r="I122" s="155">
        <v>20.00662732468475</v>
      </c>
      <c r="J122" s="155">
        <v>21.798629955547494</v>
      </c>
      <c r="K122" s="155">
        <v>21.439661208382471</v>
      </c>
      <c r="L122" s="155">
        <v>21.282125102059332</v>
      </c>
    </row>
    <row r="123" spans="1:12" x14ac:dyDescent="0.25">
      <c r="A123" s="119" t="s">
        <v>76</v>
      </c>
      <c r="B123" s="123">
        <v>10</v>
      </c>
      <c r="C123" s="123">
        <v>11</v>
      </c>
      <c r="D123" s="123">
        <v>12</v>
      </c>
      <c r="E123" s="123">
        <v>11</v>
      </c>
      <c r="F123" s="123">
        <v>11</v>
      </c>
      <c r="G123" s="123">
        <v>11</v>
      </c>
      <c r="H123" s="123">
        <v>12</v>
      </c>
      <c r="I123" s="123">
        <v>12</v>
      </c>
      <c r="J123" s="123">
        <v>12</v>
      </c>
      <c r="K123" s="123">
        <v>12</v>
      </c>
      <c r="L123" s="123">
        <v>0</v>
      </c>
    </row>
    <row r="124" spans="1:12" x14ac:dyDescent="0.25">
      <c r="A124" s="119" t="s">
        <v>77</v>
      </c>
      <c r="B124" s="123">
        <v>10</v>
      </c>
      <c r="C124" s="123">
        <v>11</v>
      </c>
      <c r="D124" s="123">
        <v>12</v>
      </c>
      <c r="E124" s="123">
        <v>11</v>
      </c>
      <c r="F124" s="123">
        <v>11</v>
      </c>
      <c r="G124" s="123">
        <v>11</v>
      </c>
      <c r="H124" s="123">
        <v>12</v>
      </c>
      <c r="I124" s="123">
        <v>12</v>
      </c>
      <c r="J124" s="123">
        <v>12</v>
      </c>
      <c r="K124" s="123">
        <v>12</v>
      </c>
      <c r="L124" s="123">
        <v>17</v>
      </c>
    </row>
    <row r="125" spans="1:12" x14ac:dyDescent="0.25">
      <c r="A125" s="119" t="s">
        <v>78</v>
      </c>
      <c r="B125" s="123">
        <v>10</v>
      </c>
      <c r="C125" s="123">
        <v>11</v>
      </c>
      <c r="D125" s="123">
        <v>12</v>
      </c>
      <c r="E125" s="123">
        <v>11</v>
      </c>
      <c r="F125" s="123">
        <v>11</v>
      </c>
      <c r="G125" s="123">
        <v>11</v>
      </c>
      <c r="H125" s="123">
        <v>12</v>
      </c>
      <c r="I125" s="123">
        <v>12</v>
      </c>
      <c r="J125" s="123">
        <v>13</v>
      </c>
      <c r="K125" s="123">
        <v>12</v>
      </c>
      <c r="L125" s="123">
        <v>18</v>
      </c>
    </row>
    <row r="129" spans="1:3" x14ac:dyDescent="0.25">
      <c r="A129" s="40"/>
      <c r="B129" s="13" t="s">
        <v>119</v>
      </c>
      <c r="C129" s="161"/>
    </row>
    <row r="130" spans="1:3" x14ac:dyDescent="0.25">
      <c r="A130" s="118">
        <v>1</v>
      </c>
      <c r="B130" s="50">
        <v>389</v>
      </c>
      <c r="C130" s="79"/>
    </row>
    <row r="131" spans="1:3" x14ac:dyDescent="0.25">
      <c r="A131" s="118">
        <v>2</v>
      </c>
      <c r="B131" s="50">
        <v>152</v>
      </c>
      <c r="C131" s="79"/>
    </row>
    <row r="132" spans="1:3" x14ac:dyDescent="0.25">
      <c r="A132" s="118">
        <v>3</v>
      </c>
      <c r="B132" s="50">
        <v>761</v>
      </c>
      <c r="C132" s="79"/>
    </row>
    <row r="133" spans="1:3" x14ac:dyDescent="0.25">
      <c r="A133" s="118">
        <v>4</v>
      </c>
      <c r="B133" s="50">
        <v>869</v>
      </c>
      <c r="C133" s="79"/>
    </row>
    <row r="134" spans="1:3" x14ac:dyDescent="0.25">
      <c r="A134" s="118">
        <v>5</v>
      </c>
      <c r="B134" s="50">
        <v>153</v>
      </c>
      <c r="C134" s="79"/>
    </row>
    <row r="135" spans="1:3" x14ac:dyDescent="0.25">
      <c r="A135" s="118">
        <v>6</v>
      </c>
      <c r="B135" s="50">
        <v>150</v>
      </c>
      <c r="C135" s="79"/>
    </row>
    <row r="136" spans="1:3" x14ac:dyDescent="0.25">
      <c r="A136" s="118">
        <v>7</v>
      </c>
      <c r="B136" s="50">
        <v>148</v>
      </c>
      <c r="C136" s="79"/>
    </row>
    <row r="137" spans="1:3" x14ac:dyDescent="0.25">
      <c r="A137" s="118">
        <v>8</v>
      </c>
      <c r="B137" s="50">
        <v>259</v>
      </c>
      <c r="C137" s="79"/>
    </row>
    <row r="138" spans="1:3" x14ac:dyDescent="0.25">
      <c r="A138" s="118">
        <v>9</v>
      </c>
      <c r="B138" s="50">
        <v>235</v>
      </c>
      <c r="C138" s="79"/>
    </row>
    <row r="139" spans="1:3" x14ac:dyDescent="0.25">
      <c r="A139" s="118">
        <v>10</v>
      </c>
      <c r="B139" s="50">
        <v>554</v>
      </c>
      <c r="C139" s="79"/>
    </row>
    <row r="140" spans="1:3" x14ac:dyDescent="0.25">
      <c r="A140" s="118">
        <v>11</v>
      </c>
      <c r="B140" s="50">
        <v>167</v>
      </c>
      <c r="C140" s="79"/>
    </row>
    <row r="141" spans="1:3" x14ac:dyDescent="0.25">
      <c r="A141" s="118">
        <v>12</v>
      </c>
      <c r="B141" s="50">
        <v>114</v>
      </c>
      <c r="C141" s="79"/>
    </row>
    <row r="142" spans="1:3" x14ac:dyDescent="0.25">
      <c r="A142" s="118">
        <v>13</v>
      </c>
      <c r="B142" s="50">
        <v>118</v>
      </c>
      <c r="C142" s="79"/>
    </row>
    <row r="143" spans="1:3" x14ac:dyDescent="0.25">
      <c r="A143" s="118">
        <v>14</v>
      </c>
      <c r="B143" s="162">
        <v>183.8827144606731</v>
      </c>
      <c r="C143" s="79"/>
    </row>
    <row r="144" spans="1:3" x14ac:dyDescent="0.25">
      <c r="A144" s="118">
        <v>15</v>
      </c>
      <c r="B144" s="151">
        <v>113</v>
      </c>
      <c r="C144" s="79"/>
    </row>
    <row r="145" spans="1:3" x14ac:dyDescent="0.25">
      <c r="A145" s="118">
        <v>16</v>
      </c>
      <c r="B145" s="151">
        <v>130</v>
      </c>
      <c r="C145" s="79"/>
    </row>
    <row r="146" spans="1:3" x14ac:dyDescent="0.25">
      <c r="A146" s="118">
        <v>17</v>
      </c>
      <c r="B146" s="151">
        <v>132</v>
      </c>
      <c r="C146" s="79"/>
    </row>
  </sheetData>
  <mergeCells count="2">
    <mergeCell ref="B60:L60"/>
    <mergeCell ref="B90:L90"/>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082E55-2746-463E-B064-63FD1D9A98F8}">
  <dimension ref="B3:M58"/>
  <sheetViews>
    <sheetView workbookViewId="0"/>
  </sheetViews>
  <sheetFormatPr defaultRowHeight="15" x14ac:dyDescent="0.25"/>
  <cols>
    <col min="1" max="1" width="11.28515625" customWidth="1"/>
    <col min="2" max="2" width="29" customWidth="1"/>
  </cols>
  <sheetData>
    <row r="3" spans="2:13" ht="26.25" x14ac:dyDescent="0.25">
      <c r="B3" s="70" t="s">
        <v>120</v>
      </c>
      <c r="C3" s="71" t="s">
        <v>103</v>
      </c>
      <c r="D3" s="71" t="s">
        <v>104</v>
      </c>
      <c r="E3" s="71" t="s">
        <v>105</v>
      </c>
      <c r="F3" s="71" t="s">
        <v>106</v>
      </c>
      <c r="G3" s="71" t="s">
        <v>107</v>
      </c>
      <c r="H3" s="71" t="s">
        <v>108</v>
      </c>
      <c r="I3" s="71" t="s">
        <v>109</v>
      </c>
      <c r="J3" s="71" t="s">
        <v>110</v>
      </c>
      <c r="K3" s="71" t="s">
        <v>111</v>
      </c>
      <c r="L3" s="71" t="s">
        <v>112</v>
      </c>
      <c r="M3" s="71" t="s">
        <v>113</v>
      </c>
    </row>
    <row r="4" spans="2:13" x14ac:dyDescent="0.25">
      <c r="B4" s="4">
        <v>1</v>
      </c>
      <c r="C4" s="29">
        <v>0.6831000110952663</v>
      </c>
      <c r="D4" s="29">
        <v>0.67322304504441521</v>
      </c>
      <c r="E4" s="29">
        <v>0.66015803295185693</v>
      </c>
      <c r="F4" s="29">
        <v>0.66185424989586972</v>
      </c>
      <c r="G4" s="29">
        <v>0.65524364094291743</v>
      </c>
      <c r="H4" s="29">
        <v>0.62865576620102381</v>
      </c>
      <c r="I4" s="29">
        <v>0.63826722866427987</v>
      </c>
      <c r="J4" s="29">
        <v>0.59499407878360111</v>
      </c>
      <c r="K4" s="29">
        <v>0.50176439642288417</v>
      </c>
      <c r="L4" s="29">
        <v>0.50109179088501699</v>
      </c>
      <c r="M4" s="29">
        <v>0.48062975935334007</v>
      </c>
    </row>
    <row r="5" spans="2:13" x14ac:dyDescent="0.25">
      <c r="B5" s="4">
        <v>2</v>
      </c>
      <c r="C5" s="29">
        <v>0.69398579023581086</v>
      </c>
      <c r="D5" s="29">
        <v>0.7459134250259567</v>
      </c>
      <c r="E5" s="29">
        <v>0.73808605418973361</v>
      </c>
      <c r="F5" s="29">
        <v>0.76018537388503105</v>
      </c>
      <c r="G5" s="29">
        <v>0.75643649055588813</v>
      </c>
      <c r="H5" s="29">
        <v>0.73105572101462735</v>
      </c>
      <c r="I5" s="29">
        <v>0.74113549732657491</v>
      </c>
      <c r="J5" s="29">
        <v>0.71031538286464391</v>
      </c>
      <c r="K5" s="29">
        <v>0.61552779026324544</v>
      </c>
      <c r="L5" s="29">
        <v>0.76650445318631533</v>
      </c>
      <c r="M5" s="29">
        <v>0.74696839280859617</v>
      </c>
    </row>
    <row r="6" spans="2:13" x14ac:dyDescent="0.25">
      <c r="B6" s="4">
        <v>3</v>
      </c>
      <c r="C6" s="29">
        <v>0.68443445678338455</v>
      </c>
      <c r="D6" s="29">
        <v>0.67235628632882305</v>
      </c>
      <c r="E6" s="29">
        <v>0.66200132536491252</v>
      </c>
      <c r="F6" s="29">
        <v>0.67623536959185016</v>
      </c>
      <c r="G6" s="29">
        <v>0.67130865826567054</v>
      </c>
      <c r="H6" s="29">
        <v>0.6461943500629943</v>
      </c>
      <c r="I6" s="29">
        <v>0.65796123948687757</v>
      </c>
      <c r="J6" s="29">
        <v>0.62821599464809186</v>
      </c>
      <c r="K6" s="29">
        <v>0.61673387973318095</v>
      </c>
      <c r="L6" s="29">
        <v>0.62773183675149591</v>
      </c>
      <c r="M6" s="29">
        <v>0.62893422536925359</v>
      </c>
    </row>
    <row r="7" spans="2:13" x14ac:dyDescent="0.25">
      <c r="B7" s="4">
        <v>4</v>
      </c>
      <c r="C7" s="29">
        <v>0.6832375664263205</v>
      </c>
      <c r="D7" s="29">
        <v>0.67232164799570138</v>
      </c>
      <c r="E7" s="29">
        <v>0.66183347723189823</v>
      </c>
      <c r="F7" s="29">
        <v>0.6640889440408404</v>
      </c>
      <c r="G7" s="29">
        <v>0.65748466096248914</v>
      </c>
      <c r="H7" s="29">
        <v>0.63116066227455148</v>
      </c>
      <c r="I7" s="29">
        <v>0.64272386185414532</v>
      </c>
      <c r="J7" s="29">
        <v>0.59975100292982164</v>
      </c>
      <c r="K7" s="29">
        <v>0.50838704834768056</v>
      </c>
      <c r="L7" s="29">
        <v>0.5065181216864828</v>
      </c>
      <c r="M7" s="29">
        <v>0.48501727906594966</v>
      </c>
    </row>
    <row r="8" spans="2:13" x14ac:dyDescent="0.25">
      <c r="B8" s="4">
        <v>5</v>
      </c>
      <c r="C8" s="29">
        <v>0.69371784162894234</v>
      </c>
      <c r="D8" s="29">
        <v>0.74694213632026496</v>
      </c>
      <c r="E8" s="29">
        <v>0.73984906147607377</v>
      </c>
      <c r="F8" s="29">
        <v>0.76192833512634228</v>
      </c>
      <c r="G8" s="29">
        <v>0.75924164327437849</v>
      </c>
      <c r="H8" s="29">
        <v>0.7329460399665777</v>
      </c>
      <c r="I8" s="29">
        <v>0.74367701558720567</v>
      </c>
      <c r="J8" s="29">
        <v>0.71338857406824407</v>
      </c>
      <c r="K8" s="29">
        <v>0.61837469343182383</v>
      </c>
      <c r="L8" s="29">
        <v>0.77417763749858748</v>
      </c>
      <c r="M8" s="29">
        <v>0.75718183918182413</v>
      </c>
    </row>
    <row r="9" spans="2:13" x14ac:dyDescent="0.25">
      <c r="B9" s="4">
        <v>6</v>
      </c>
      <c r="C9" s="29">
        <v>0.68428533680995052</v>
      </c>
      <c r="D9" s="29">
        <v>0.67316725974680924</v>
      </c>
      <c r="E9" s="29">
        <v>0.66122200241187223</v>
      </c>
      <c r="F9" s="29">
        <v>0.67577776877208617</v>
      </c>
      <c r="G9" s="29">
        <v>0.66948059676096772</v>
      </c>
      <c r="H9" s="29">
        <v>0.64438506662309558</v>
      </c>
      <c r="I9" s="29">
        <v>0.6532998562477903</v>
      </c>
      <c r="J9" s="29">
        <v>0.62676906612151972</v>
      </c>
      <c r="K9" s="29">
        <v>0.61517661967203452</v>
      </c>
      <c r="L9" s="29">
        <v>0.62742290414685309</v>
      </c>
      <c r="M9" s="29">
        <v>0.63072402211021927</v>
      </c>
    </row>
    <row r="10" spans="2:13" x14ac:dyDescent="0.25">
      <c r="B10" s="4">
        <v>7</v>
      </c>
      <c r="C10" s="29">
        <v>0.69385371714344668</v>
      </c>
      <c r="D10" s="29">
        <v>0.74592722943449119</v>
      </c>
      <c r="E10" s="29">
        <v>0.74064878632281894</v>
      </c>
      <c r="F10" s="29">
        <v>0.76277234633563296</v>
      </c>
      <c r="G10" s="29">
        <v>0.75796421678639614</v>
      </c>
      <c r="H10" s="29">
        <v>0.73502738703076587</v>
      </c>
      <c r="I10" s="29">
        <v>0.74462801708964166</v>
      </c>
      <c r="J10" s="29">
        <v>0.71570909275999461</v>
      </c>
      <c r="K10" s="29">
        <v>0.61964782328474211</v>
      </c>
      <c r="L10" s="29">
        <v>0.7777585705290796</v>
      </c>
      <c r="M10" s="29">
        <v>0.76085780556313976</v>
      </c>
    </row>
    <row r="11" spans="2:13" x14ac:dyDescent="0.25">
      <c r="B11" s="4">
        <v>8</v>
      </c>
      <c r="C11" s="29">
        <v>0.69380110778396087</v>
      </c>
      <c r="D11" s="29">
        <v>0.74615419400302752</v>
      </c>
      <c r="E11" s="29">
        <v>0.73970198650823937</v>
      </c>
      <c r="F11" s="29">
        <v>0.76215501548404652</v>
      </c>
      <c r="G11" s="29">
        <v>0.75840425064967487</v>
      </c>
      <c r="H11" s="29">
        <v>0.73470355233031492</v>
      </c>
      <c r="I11" s="29">
        <v>0.74532427553327396</v>
      </c>
      <c r="J11" s="29">
        <v>0.71367394187798516</v>
      </c>
      <c r="K11" s="29">
        <v>0.62174431852184986</v>
      </c>
      <c r="L11" s="29">
        <v>0.77571285333312234</v>
      </c>
      <c r="M11" s="29">
        <v>0.75598276162864975</v>
      </c>
    </row>
    <row r="12" spans="2:13" x14ac:dyDescent="0.25">
      <c r="B12" s="4">
        <v>9</v>
      </c>
      <c r="C12" s="29">
        <v>0.69380110778396087</v>
      </c>
      <c r="D12" s="29">
        <v>0.74615419400302752</v>
      </c>
      <c r="E12" s="29">
        <v>0.74026048916718457</v>
      </c>
      <c r="F12" s="29">
        <v>0.76234283755716004</v>
      </c>
      <c r="G12" s="29">
        <v>0.75953034140960729</v>
      </c>
      <c r="H12" s="29">
        <v>0.73397602415892693</v>
      </c>
      <c r="I12" s="29">
        <v>0.74639689778069074</v>
      </c>
      <c r="J12" s="29">
        <v>0.71503414831310197</v>
      </c>
      <c r="K12" s="29">
        <v>0.62069888737808454</v>
      </c>
      <c r="L12" s="29">
        <v>0.77665646702896896</v>
      </c>
      <c r="M12" s="29">
        <v>0.75453115950086502</v>
      </c>
    </row>
    <row r="13" spans="2:13" x14ac:dyDescent="0.25">
      <c r="B13" s="4">
        <v>10</v>
      </c>
      <c r="C13" s="29">
        <v>0.6937264746620071</v>
      </c>
      <c r="D13" s="29">
        <v>0.74703933824587154</v>
      </c>
      <c r="E13" s="29">
        <v>0.73958303688657379</v>
      </c>
      <c r="F13" s="29">
        <v>0.76173492620708061</v>
      </c>
      <c r="G13" s="29">
        <v>0.76070845686868371</v>
      </c>
      <c r="H13" s="29">
        <v>0.73596155633541238</v>
      </c>
      <c r="I13" s="29">
        <v>0.74617233151631823</v>
      </c>
      <c r="J13" s="29">
        <v>0.71678451598831772</v>
      </c>
      <c r="K13" s="29">
        <v>0.62204451797700111</v>
      </c>
      <c r="L13" s="29">
        <v>0.77628976974754738</v>
      </c>
      <c r="M13" s="29">
        <v>0.75564360976641132</v>
      </c>
    </row>
    <row r="14" spans="2:13" x14ac:dyDescent="0.25">
      <c r="B14" s="4">
        <v>11</v>
      </c>
      <c r="C14" s="29">
        <v>0.69380090234001335</v>
      </c>
      <c r="D14" s="29">
        <v>0.74615474566927098</v>
      </c>
      <c r="E14" s="29">
        <v>0.740221546791059</v>
      </c>
      <c r="F14" s="29">
        <v>0.76232350662371251</v>
      </c>
      <c r="G14" s="29">
        <v>0.75946662221956573</v>
      </c>
      <c r="H14" s="29">
        <v>0.7338111028450981</v>
      </c>
      <c r="I14" s="29">
        <v>0.74455749997081455</v>
      </c>
      <c r="J14" s="29">
        <v>0.71492545578856825</v>
      </c>
      <c r="K14" s="29">
        <v>0.61895588107977884</v>
      </c>
      <c r="L14" s="29">
        <v>0.77533001688267178</v>
      </c>
      <c r="M14" s="29">
        <v>0.75487934639930876</v>
      </c>
    </row>
    <row r="15" spans="2:13" x14ac:dyDescent="0.25">
      <c r="B15" s="4">
        <v>12</v>
      </c>
      <c r="C15" s="29">
        <v>0.68747885995235813</v>
      </c>
      <c r="D15" s="29">
        <v>0.75330332030478508</v>
      </c>
      <c r="E15" s="29">
        <v>0.75015328480161914</v>
      </c>
      <c r="F15" s="29">
        <v>0.77979218603260547</v>
      </c>
      <c r="G15" s="29">
        <v>0.7823381181721194</v>
      </c>
      <c r="H15" s="29">
        <v>0.83367108326691342</v>
      </c>
      <c r="I15" s="29">
        <v>0.85115296747317992</v>
      </c>
      <c r="J15" s="29">
        <v>0.83041481005235895</v>
      </c>
      <c r="K15" s="29">
        <v>0.73566019980861774</v>
      </c>
      <c r="L15" s="29">
        <v>0.85525557326149049</v>
      </c>
      <c r="M15" s="29">
        <v>0.88703492658250216</v>
      </c>
    </row>
    <row r="16" spans="2:13" x14ac:dyDescent="0.25">
      <c r="B16" s="4">
        <v>13</v>
      </c>
      <c r="C16" s="29">
        <v>0.68472687723990466</v>
      </c>
      <c r="D16" s="29">
        <v>0.74683000310594816</v>
      </c>
      <c r="E16" s="29">
        <v>0.73973399289001862</v>
      </c>
      <c r="F16" s="29">
        <v>0.76201181177391331</v>
      </c>
      <c r="G16" s="29">
        <v>0.75822030713877764</v>
      </c>
      <c r="H16" s="29">
        <v>0.80120560703489418</v>
      </c>
      <c r="I16" s="29">
        <v>0.81370931060433815</v>
      </c>
      <c r="J16" s="29">
        <v>0.78689598513534664</v>
      </c>
      <c r="K16" s="29">
        <v>0.69006551632442559</v>
      </c>
      <c r="L16" s="29">
        <v>0.79920876764616233</v>
      </c>
      <c r="M16" s="29">
        <v>0.82406246190773036</v>
      </c>
    </row>
    <row r="17" spans="2:13" x14ac:dyDescent="0.25">
      <c r="B17" s="4">
        <v>14</v>
      </c>
      <c r="C17" s="156">
        <v>0.69415065785413266</v>
      </c>
      <c r="D17" s="156">
        <v>0.74745361655189746</v>
      </c>
      <c r="E17" s="156">
        <v>0.73905369717265867</v>
      </c>
      <c r="F17" s="156">
        <v>0.76285532466149486</v>
      </c>
      <c r="G17" s="156">
        <v>0.7589770144278889</v>
      </c>
      <c r="H17" s="156">
        <v>0.73373369045934389</v>
      </c>
      <c r="I17" s="156">
        <v>0.74406891918710671</v>
      </c>
      <c r="J17" s="156">
        <v>0.71424061611305367</v>
      </c>
      <c r="K17" s="156">
        <v>0.61991694220184035</v>
      </c>
      <c r="L17" s="156">
        <v>0.77409090686318138</v>
      </c>
      <c r="M17" s="156">
        <v>0.75485952843283088</v>
      </c>
    </row>
    <row r="18" spans="2:13" x14ac:dyDescent="0.25">
      <c r="B18" s="4">
        <v>15</v>
      </c>
      <c r="C18" s="156">
        <v>0.68747885995235813</v>
      </c>
      <c r="D18" s="156">
        <v>0.75330332030478508</v>
      </c>
      <c r="E18" s="156">
        <v>0.75015328480161914</v>
      </c>
      <c r="F18" s="156">
        <v>0.77979218603260547</v>
      </c>
      <c r="G18" s="156">
        <v>0.7823381181721194</v>
      </c>
      <c r="H18" s="156">
        <v>0.83367108326691342</v>
      </c>
      <c r="I18" s="156">
        <v>0.85088120425572322</v>
      </c>
      <c r="J18" s="156">
        <v>0.82831243914571973</v>
      </c>
      <c r="K18" s="156">
        <v>0.74385319027442731</v>
      </c>
      <c r="L18" s="156">
        <v>0.87085186454929986</v>
      </c>
      <c r="M18" s="156">
        <v>0.91613014164295759</v>
      </c>
    </row>
    <row r="19" spans="2:13" x14ac:dyDescent="0.25">
      <c r="B19" s="4">
        <v>16</v>
      </c>
      <c r="C19" s="156">
        <v>0.68747885995235813</v>
      </c>
      <c r="D19" s="156">
        <v>0.75330332030478508</v>
      </c>
      <c r="E19" s="156">
        <v>0.75015328480161914</v>
      </c>
      <c r="F19" s="156">
        <v>0.77979218603260547</v>
      </c>
      <c r="G19" s="156">
        <v>0.7823381181721194</v>
      </c>
      <c r="H19" s="156">
        <v>0.83367108326691342</v>
      </c>
      <c r="I19" s="156">
        <v>0.85088120425572322</v>
      </c>
      <c r="J19" s="156">
        <v>0.82831243914571973</v>
      </c>
      <c r="K19" s="156">
        <v>0.73583810239625014</v>
      </c>
      <c r="L19" s="156">
        <v>0.86404886197640773</v>
      </c>
      <c r="M19" s="156">
        <v>0.9078096938066279</v>
      </c>
    </row>
    <row r="20" spans="2:13" x14ac:dyDescent="0.25">
      <c r="B20" s="4">
        <v>17</v>
      </c>
      <c r="C20" s="156">
        <v>0.68747885995235813</v>
      </c>
      <c r="D20" s="156">
        <v>0.75330332030478508</v>
      </c>
      <c r="E20" s="156">
        <v>0.75015328480161914</v>
      </c>
      <c r="F20" s="156">
        <v>0.77979218603260547</v>
      </c>
      <c r="G20" s="156">
        <v>0.7823381181721194</v>
      </c>
      <c r="H20" s="156">
        <v>0.83367108326691342</v>
      </c>
      <c r="I20" s="156">
        <v>0.85115296747317992</v>
      </c>
      <c r="J20" s="156">
        <v>0.83041481005235895</v>
      </c>
      <c r="K20" s="156">
        <v>0.73566019980861774</v>
      </c>
      <c r="L20" s="156">
        <v>0.85525557326149049</v>
      </c>
      <c r="M20" s="156">
        <v>0.88874274536686093</v>
      </c>
    </row>
    <row r="22" spans="2:13" ht="26.25" x14ac:dyDescent="0.25">
      <c r="B22" s="70" t="s">
        <v>121</v>
      </c>
      <c r="C22" s="71" t="s">
        <v>103</v>
      </c>
      <c r="D22" s="71" t="s">
        <v>104</v>
      </c>
      <c r="E22" s="71" t="s">
        <v>105</v>
      </c>
      <c r="F22" s="71" t="s">
        <v>106</v>
      </c>
      <c r="G22" s="71" t="s">
        <v>107</v>
      </c>
      <c r="H22" s="71" t="s">
        <v>108</v>
      </c>
      <c r="I22" s="71" t="s">
        <v>109</v>
      </c>
      <c r="J22" s="71" t="s">
        <v>110</v>
      </c>
      <c r="K22" s="71" t="s">
        <v>111</v>
      </c>
      <c r="L22" s="71" t="s">
        <v>112</v>
      </c>
      <c r="M22" s="71" t="s">
        <v>113</v>
      </c>
    </row>
    <row r="23" spans="2:13" x14ac:dyDescent="0.25">
      <c r="B23" s="4">
        <v>1</v>
      </c>
      <c r="C23" s="29">
        <v>0.7682632397013941</v>
      </c>
      <c r="D23" s="29">
        <v>0.76289847746827444</v>
      </c>
      <c r="E23" s="29">
        <v>0.75390793094999065</v>
      </c>
      <c r="F23" s="29">
        <v>0.74748013655703549</v>
      </c>
      <c r="G23" s="29">
        <v>0.75059737387502079</v>
      </c>
      <c r="H23" s="29">
        <v>0.74001143856340845</v>
      </c>
      <c r="I23" s="29">
        <v>0.74995618980551049</v>
      </c>
      <c r="J23" s="29">
        <v>0.73123407807118623</v>
      </c>
      <c r="K23" s="29">
        <v>0.60435477422228134</v>
      </c>
      <c r="L23" s="29">
        <v>0.58770544488250231</v>
      </c>
      <c r="M23" s="29">
        <v>0.54543596795251303</v>
      </c>
    </row>
    <row r="24" spans="2:13" x14ac:dyDescent="0.25">
      <c r="B24" s="4">
        <v>2</v>
      </c>
      <c r="C24" s="29">
        <v>0.7804018740946902</v>
      </c>
      <c r="D24" s="29">
        <v>0.8811043297570017</v>
      </c>
      <c r="E24" s="29">
        <v>0.87049170518350849</v>
      </c>
      <c r="F24" s="29">
        <v>0.8869253475722203</v>
      </c>
      <c r="G24" s="29">
        <v>0.88795297441134102</v>
      </c>
      <c r="H24" s="29">
        <v>0.87605618533884089</v>
      </c>
      <c r="I24" s="29">
        <v>0.88741015399687806</v>
      </c>
      <c r="J24" s="29">
        <v>0.87891591775246758</v>
      </c>
      <c r="K24" s="29">
        <v>0.75083800755284524</v>
      </c>
      <c r="L24" s="29">
        <v>0.92723444440132807</v>
      </c>
      <c r="M24" s="29">
        <v>0.88262173097206797</v>
      </c>
    </row>
    <row r="25" spans="2:13" x14ac:dyDescent="0.25">
      <c r="B25" s="4">
        <v>3</v>
      </c>
      <c r="C25" s="29">
        <v>0.76893370537211636</v>
      </c>
      <c r="D25" s="29">
        <v>0.76388906222129083</v>
      </c>
      <c r="E25" s="29">
        <v>0.75508419016873396</v>
      </c>
      <c r="F25" s="29">
        <v>0.76192570914316937</v>
      </c>
      <c r="G25" s="29">
        <v>0.76514933562040233</v>
      </c>
      <c r="H25" s="29">
        <v>0.75502613852318501</v>
      </c>
      <c r="I25" s="29">
        <v>0.76715076265144733</v>
      </c>
      <c r="J25" s="29">
        <v>0.7606785004666855</v>
      </c>
      <c r="K25" s="29">
        <v>0.75263429009202321</v>
      </c>
      <c r="L25" s="29">
        <v>0.75549776640864452</v>
      </c>
      <c r="M25" s="29">
        <v>0.75293178363564195</v>
      </c>
    </row>
    <row r="26" spans="2:13" x14ac:dyDescent="0.25">
      <c r="B26" s="4">
        <v>4</v>
      </c>
      <c r="C26" s="29">
        <v>0.76857858579077187</v>
      </c>
      <c r="D26" s="29">
        <v>0.76331828340311869</v>
      </c>
      <c r="E26" s="29">
        <v>0.75384156838010874</v>
      </c>
      <c r="F26" s="29">
        <v>0.74872852872970763</v>
      </c>
      <c r="G26" s="29">
        <v>0.74872525709451809</v>
      </c>
      <c r="H26" s="29">
        <v>0.73822392759173427</v>
      </c>
      <c r="I26" s="29">
        <v>0.75008858130255773</v>
      </c>
      <c r="J26" s="29">
        <v>0.73091669591590591</v>
      </c>
      <c r="K26" s="29">
        <v>0.60543047760409585</v>
      </c>
      <c r="L26" s="29">
        <v>0.58895182457175321</v>
      </c>
      <c r="M26" s="29">
        <v>0.54776742012194668</v>
      </c>
    </row>
    <row r="27" spans="2:13" x14ac:dyDescent="0.25">
      <c r="B27" s="4">
        <v>5</v>
      </c>
      <c r="C27" s="29">
        <v>0.78072212703474797</v>
      </c>
      <c r="D27" s="29">
        <v>0.88193291119440309</v>
      </c>
      <c r="E27" s="29">
        <v>0.87185975040069408</v>
      </c>
      <c r="F27" s="29">
        <v>0.88886970947607691</v>
      </c>
      <c r="G27" s="29">
        <v>0.8911622234934089</v>
      </c>
      <c r="H27" s="29">
        <v>0.87943406438840332</v>
      </c>
      <c r="I27" s="29">
        <v>0.89144705717228057</v>
      </c>
      <c r="J27" s="29">
        <v>0.88269922988890048</v>
      </c>
      <c r="K27" s="29">
        <v>0.75470728058857461</v>
      </c>
      <c r="L27" s="29">
        <v>0.93472859523931051</v>
      </c>
      <c r="M27" s="29">
        <v>0.89513293156538321</v>
      </c>
    </row>
    <row r="28" spans="2:13" x14ac:dyDescent="0.25">
      <c r="B28" s="4">
        <v>6</v>
      </c>
      <c r="C28" s="29">
        <v>0.76901231057672026</v>
      </c>
      <c r="D28" s="29">
        <v>0.76373055445408577</v>
      </c>
      <c r="E28" s="29">
        <v>0.75354191532457038</v>
      </c>
      <c r="F28" s="29">
        <v>0.76276171798168058</v>
      </c>
      <c r="G28" s="29">
        <v>0.76578779470135272</v>
      </c>
      <c r="H28" s="29">
        <v>0.75650302414567605</v>
      </c>
      <c r="I28" s="29">
        <v>0.76717567391223607</v>
      </c>
      <c r="J28" s="29">
        <v>0.76304111255223761</v>
      </c>
      <c r="K28" s="29">
        <v>0.75497354559892693</v>
      </c>
      <c r="L28" s="29">
        <v>0.75881941396563046</v>
      </c>
      <c r="M28" s="29">
        <v>0.75958856120586904</v>
      </c>
    </row>
    <row r="29" spans="2:13" x14ac:dyDescent="0.25">
      <c r="B29" s="4">
        <v>7</v>
      </c>
      <c r="C29" s="29">
        <v>0.78071404212420814</v>
      </c>
      <c r="D29" s="29">
        <v>0.8820750854094852</v>
      </c>
      <c r="E29" s="29">
        <v>0.8724709795514991</v>
      </c>
      <c r="F29" s="29">
        <v>0.88865949743308592</v>
      </c>
      <c r="G29" s="29">
        <v>0.89100046630874152</v>
      </c>
      <c r="H29" s="29">
        <v>0.88004503243234289</v>
      </c>
      <c r="I29" s="29">
        <v>0.89108306095729162</v>
      </c>
      <c r="J29" s="29">
        <v>0.88584732956174417</v>
      </c>
      <c r="K29" s="29">
        <v>0.75612648920269732</v>
      </c>
      <c r="L29" s="29">
        <v>0.93830333395307675</v>
      </c>
      <c r="M29" s="29">
        <v>0.89825821058708744</v>
      </c>
    </row>
    <row r="30" spans="2:13" x14ac:dyDescent="0.25">
      <c r="B30" s="4">
        <v>8</v>
      </c>
      <c r="C30" s="29">
        <v>0.78120718656205379</v>
      </c>
      <c r="D30" s="29">
        <v>0.88213542585870475</v>
      </c>
      <c r="E30" s="29">
        <v>0.87146692716341634</v>
      </c>
      <c r="F30" s="29">
        <v>0.88836653877976723</v>
      </c>
      <c r="G30" s="29">
        <v>0.89082234538372584</v>
      </c>
      <c r="H30" s="29">
        <v>0.879157953676036</v>
      </c>
      <c r="I30" s="29">
        <v>0.88966585885924876</v>
      </c>
      <c r="J30" s="29">
        <v>0.88174304586171848</v>
      </c>
      <c r="K30" s="29">
        <v>0.75560367463914946</v>
      </c>
      <c r="L30" s="29">
        <v>0.93373983078644862</v>
      </c>
      <c r="M30" s="29">
        <v>0.89029496573187961</v>
      </c>
    </row>
    <row r="31" spans="2:13" x14ac:dyDescent="0.25">
      <c r="B31" s="4">
        <v>9</v>
      </c>
      <c r="C31" s="29">
        <v>0.78120718656205379</v>
      </c>
      <c r="D31" s="29">
        <v>0.88213542585870475</v>
      </c>
      <c r="E31" s="29">
        <v>0.87275940946720587</v>
      </c>
      <c r="F31" s="29">
        <v>0.88854765702338923</v>
      </c>
      <c r="G31" s="29">
        <v>0.8910935348935819</v>
      </c>
      <c r="H31" s="29">
        <v>0.87955791090956814</v>
      </c>
      <c r="I31" s="29">
        <v>0.89013782348632786</v>
      </c>
      <c r="J31" s="29">
        <v>0.88224338140132474</v>
      </c>
      <c r="K31" s="29">
        <v>0.75503367534552202</v>
      </c>
      <c r="L31" s="29">
        <v>0.93435946938126313</v>
      </c>
      <c r="M31" s="29">
        <v>0.88962126553693388</v>
      </c>
    </row>
    <row r="32" spans="2:13" x14ac:dyDescent="0.25">
      <c r="B32" s="4">
        <v>10</v>
      </c>
      <c r="C32" s="29">
        <v>0.78069437652042928</v>
      </c>
      <c r="D32" s="29">
        <v>0.88201002275373253</v>
      </c>
      <c r="E32" s="29">
        <v>0.87102402709801818</v>
      </c>
      <c r="F32" s="29">
        <v>0.88774705105671825</v>
      </c>
      <c r="G32" s="29">
        <v>0.89087419358435094</v>
      </c>
      <c r="H32" s="29">
        <v>0.87845082265510732</v>
      </c>
      <c r="I32" s="29">
        <v>0.89020880378322753</v>
      </c>
      <c r="J32" s="29">
        <v>0.88256893967862859</v>
      </c>
      <c r="K32" s="29">
        <v>0.75555156500790044</v>
      </c>
      <c r="L32" s="29">
        <v>0.93402373778911774</v>
      </c>
      <c r="M32" s="29">
        <v>0.88918718908012073</v>
      </c>
    </row>
    <row r="33" spans="2:13" x14ac:dyDescent="0.25">
      <c r="B33" s="4">
        <v>11</v>
      </c>
      <c r="C33" s="29">
        <v>0.78120695523597705</v>
      </c>
      <c r="D33" s="29">
        <v>0.88213607806215089</v>
      </c>
      <c r="E33" s="29">
        <v>0.87271349681120436</v>
      </c>
      <c r="F33" s="29">
        <v>0.88852512588021226</v>
      </c>
      <c r="G33" s="29">
        <v>0.89101877848794664</v>
      </c>
      <c r="H33" s="29">
        <v>0.87956123711518619</v>
      </c>
      <c r="I33" s="29">
        <v>0.89037673454813937</v>
      </c>
      <c r="J33" s="29">
        <v>0.88444609564626264</v>
      </c>
      <c r="K33" s="29">
        <v>0.75446162734037325</v>
      </c>
      <c r="L33" s="29">
        <v>0.93473212781024495</v>
      </c>
      <c r="M33" s="29">
        <v>0.88965307856998299</v>
      </c>
    </row>
    <row r="34" spans="2:13" x14ac:dyDescent="0.25">
      <c r="B34" s="4">
        <v>12</v>
      </c>
      <c r="C34" s="29">
        <v>0.77274017949469354</v>
      </c>
      <c r="D34" s="29">
        <v>0.89003853567724667</v>
      </c>
      <c r="E34" s="29">
        <v>0.88404771106821034</v>
      </c>
      <c r="F34" s="29">
        <v>0.90849615058428379</v>
      </c>
      <c r="G34" s="29">
        <v>0.91729435433895423</v>
      </c>
      <c r="H34" s="72">
        <v>1.032826210451296</v>
      </c>
      <c r="I34" s="72">
        <v>1.051436079921898</v>
      </c>
      <c r="J34" s="72">
        <v>1.0628088039076207</v>
      </c>
      <c r="K34" s="29">
        <v>0.93494422241103625</v>
      </c>
      <c r="L34" s="72">
        <v>1.0722688903835684</v>
      </c>
      <c r="M34" s="72">
        <v>1.1004761669274343</v>
      </c>
    </row>
    <row r="35" spans="2:13" x14ac:dyDescent="0.25">
      <c r="B35" s="4">
        <v>13</v>
      </c>
      <c r="C35" s="29">
        <v>0.76877848388383752</v>
      </c>
      <c r="D35" s="29">
        <v>0.88216760774880976</v>
      </c>
      <c r="E35" s="29">
        <v>0.87171672684298873</v>
      </c>
      <c r="F35" s="29">
        <v>0.88830442544344246</v>
      </c>
      <c r="G35" s="29">
        <v>0.8903708710302487</v>
      </c>
      <c r="H35" s="72">
        <v>0.99677207670019308</v>
      </c>
      <c r="I35" s="72">
        <v>1.0095039262736523</v>
      </c>
      <c r="J35" s="72">
        <v>1.0141070578054256</v>
      </c>
      <c r="K35" s="29">
        <v>0.88280228825396678</v>
      </c>
      <c r="L35" s="72">
        <v>1.0099740415432892</v>
      </c>
      <c r="M35" s="72">
        <v>1.0285849237642828</v>
      </c>
    </row>
    <row r="36" spans="2:13" x14ac:dyDescent="0.25">
      <c r="B36" s="4">
        <v>14</v>
      </c>
      <c r="C36" s="156">
        <v>0.78078657967767207</v>
      </c>
      <c r="D36" s="156">
        <v>0.88195021372715066</v>
      </c>
      <c r="E36" s="156">
        <v>0.8707717106220314</v>
      </c>
      <c r="F36" s="156">
        <v>0.88846620629244477</v>
      </c>
      <c r="G36" s="156">
        <v>0.89050036481207262</v>
      </c>
      <c r="H36" s="156">
        <v>0.87793096191630182</v>
      </c>
      <c r="I36" s="156">
        <v>0.88998821571861819</v>
      </c>
      <c r="J36" s="156">
        <v>0.88300205554559164</v>
      </c>
      <c r="K36" s="156">
        <v>0.75533406848708107</v>
      </c>
      <c r="L36" s="156">
        <v>0.93439481877598785</v>
      </c>
      <c r="M36" s="156">
        <v>0.88928509663120159</v>
      </c>
    </row>
    <row r="37" spans="2:13" x14ac:dyDescent="0.25">
      <c r="B37" s="4">
        <v>15</v>
      </c>
      <c r="C37" s="156">
        <v>0.77274017949469354</v>
      </c>
      <c r="D37" s="156">
        <v>0.89003853567724667</v>
      </c>
      <c r="E37" s="156">
        <v>0.88404771106821034</v>
      </c>
      <c r="F37" s="156">
        <v>0.90849615058428379</v>
      </c>
      <c r="G37" s="156">
        <v>0.91729435433895423</v>
      </c>
      <c r="H37" s="156">
        <v>1.032826210451296</v>
      </c>
      <c r="I37" s="156">
        <v>1.0520597230062514</v>
      </c>
      <c r="J37" s="156">
        <v>1.0613975673838363</v>
      </c>
      <c r="K37" s="156">
        <v>0.94285981531837493</v>
      </c>
      <c r="L37" s="156">
        <v>1.0884398383878036</v>
      </c>
      <c r="M37" s="156">
        <v>1.1313452432037394</v>
      </c>
    </row>
    <row r="38" spans="2:13" x14ac:dyDescent="0.25">
      <c r="B38" s="4">
        <v>16</v>
      </c>
      <c r="C38" s="156">
        <v>0.77274017949469354</v>
      </c>
      <c r="D38" s="156">
        <v>0.89003853567724667</v>
      </c>
      <c r="E38" s="156">
        <v>0.88404771106821034</v>
      </c>
      <c r="F38" s="156">
        <v>0.90849615058428379</v>
      </c>
      <c r="G38" s="156">
        <v>0.91729435433895423</v>
      </c>
      <c r="H38" s="156">
        <v>1.032826210451296</v>
      </c>
      <c r="I38" s="156">
        <v>1.0520597230062514</v>
      </c>
      <c r="J38" s="156">
        <v>1.0613975673838363</v>
      </c>
      <c r="K38" s="156">
        <v>0.93511446890018357</v>
      </c>
      <c r="L38" s="156">
        <v>1.0810960266023502</v>
      </c>
      <c r="M38" s="156">
        <v>1.1183013695860695</v>
      </c>
    </row>
    <row r="39" spans="2:13" x14ac:dyDescent="0.25">
      <c r="B39" s="4">
        <v>17</v>
      </c>
      <c r="C39" s="156">
        <v>0.77274017949469354</v>
      </c>
      <c r="D39" s="156">
        <v>0.89003853567724667</v>
      </c>
      <c r="E39" s="156">
        <v>0.88404771106821034</v>
      </c>
      <c r="F39" s="156">
        <v>0.90849615058428379</v>
      </c>
      <c r="G39" s="156">
        <v>0.91729435433895423</v>
      </c>
      <c r="H39" s="156">
        <v>1.032826210451296</v>
      </c>
      <c r="I39" s="156">
        <v>1.051436079921898</v>
      </c>
      <c r="J39" s="156">
        <v>1.0628088039076207</v>
      </c>
      <c r="K39" s="156">
        <v>0.93494422241103625</v>
      </c>
      <c r="L39" s="156">
        <v>1.0722688903835684</v>
      </c>
      <c r="M39" s="156">
        <v>1.0993692721109221</v>
      </c>
    </row>
    <row r="40" spans="2:13" x14ac:dyDescent="0.25">
      <c r="C40" s="73"/>
      <c r="D40" s="73"/>
      <c r="E40" s="73"/>
      <c r="F40" s="73"/>
      <c r="G40" s="73"/>
      <c r="H40" s="73"/>
      <c r="I40" s="73"/>
      <c r="J40" s="73"/>
      <c r="K40" s="73"/>
      <c r="L40" s="73"/>
      <c r="M40" s="73"/>
    </row>
    <row r="42" spans="2:13" x14ac:dyDescent="0.25">
      <c r="B42" s="4">
        <v>1</v>
      </c>
      <c r="M42" s="74">
        <f>M23-M4</f>
        <v>6.4806208599172965E-2</v>
      </c>
    </row>
    <row r="43" spans="2:13" x14ac:dyDescent="0.25">
      <c r="B43" s="4">
        <v>2</v>
      </c>
      <c r="M43" s="74">
        <f t="shared" ref="M43:M57" si="0">M24-M5</f>
        <v>0.1356533381634718</v>
      </c>
    </row>
    <row r="44" spans="2:13" x14ac:dyDescent="0.25">
      <c r="B44" s="4">
        <v>3</v>
      </c>
      <c r="M44" s="74">
        <f t="shared" si="0"/>
        <v>0.12399755826638836</v>
      </c>
    </row>
    <row r="45" spans="2:13" x14ac:dyDescent="0.25">
      <c r="B45" s="4">
        <v>4</v>
      </c>
      <c r="M45" s="74">
        <f t="shared" si="0"/>
        <v>6.2750141055997022E-2</v>
      </c>
    </row>
    <row r="46" spans="2:13" x14ac:dyDescent="0.25">
      <c r="B46" s="4">
        <v>5</v>
      </c>
      <c r="M46" s="74">
        <f t="shared" si="0"/>
        <v>0.13795109238355907</v>
      </c>
    </row>
    <row r="47" spans="2:13" x14ac:dyDescent="0.25">
      <c r="B47" s="4">
        <v>6</v>
      </c>
      <c r="M47" s="74">
        <f t="shared" si="0"/>
        <v>0.12886453909564977</v>
      </c>
    </row>
    <row r="48" spans="2:13" x14ac:dyDescent="0.25">
      <c r="B48" s="4">
        <v>7</v>
      </c>
      <c r="M48" s="74">
        <f t="shared" si="0"/>
        <v>0.13740040502394768</v>
      </c>
    </row>
    <row r="49" spans="2:13" x14ac:dyDescent="0.25">
      <c r="B49" s="4">
        <v>8</v>
      </c>
      <c r="M49" s="74">
        <f t="shared" si="0"/>
        <v>0.13431220410322986</v>
      </c>
    </row>
    <row r="50" spans="2:13" x14ac:dyDescent="0.25">
      <c r="B50" s="4">
        <v>9</v>
      </c>
      <c r="M50" s="74">
        <f t="shared" si="0"/>
        <v>0.13509010603606886</v>
      </c>
    </row>
    <row r="51" spans="2:13" x14ac:dyDescent="0.25">
      <c r="B51" s="4">
        <v>10</v>
      </c>
      <c r="M51" s="74">
        <f t="shared" si="0"/>
        <v>0.13354357931370942</v>
      </c>
    </row>
    <row r="52" spans="2:13" x14ac:dyDescent="0.25">
      <c r="B52" s="4">
        <v>11</v>
      </c>
      <c r="M52" s="74">
        <f t="shared" si="0"/>
        <v>0.13477373217067423</v>
      </c>
    </row>
    <row r="53" spans="2:13" x14ac:dyDescent="0.25">
      <c r="B53" s="4">
        <v>12</v>
      </c>
      <c r="M53" s="74">
        <f t="shared" si="0"/>
        <v>0.21344124034493217</v>
      </c>
    </row>
    <row r="54" spans="2:13" x14ac:dyDescent="0.25">
      <c r="B54" s="4">
        <v>13</v>
      </c>
      <c r="M54" s="74">
        <f t="shared" si="0"/>
        <v>0.20452246185655243</v>
      </c>
    </row>
    <row r="55" spans="2:13" x14ac:dyDescent="0.25">
      <c r="B55" s="4">
        <v>14</v>
      </c>
      <c r="M55" s="74">
        <f t="shared" si="0"/>
        <v>0.1344255681983707</v>
      </c>
    </row>
    <row r="56" spans="2:13" x14ac:dyDescent="0.25">
      <c r="B56" s="4">
        <v>15</v>
      </c>
      <c r="M56" s="74">
        <f t="shared" si="0"/>
        <v>0.21521510156078183</v>
      </c>
    </row>
    <row r="57" spans="2:13" x14ac:dyDescent="0.25">
      <c r="B57" s="4">
        <v>16</v>
      </c>
      <c r="M57" s="74">
        <f t="shared" si="0"/>
        <v>0.21049167577944161</v>
      </c>
    </row>
    <row r="58" spans="2:13" x14ac:dyDescent="0.25">
      <c r="B58" s="4">
        <v>17</v>
      </c>
      <c r="M58" s="74">
        <f>M39-M20</f>
        <v>0.21062652674406113</v>
      </c>
    </row>
  </sheetData>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9B2D3B-6BD6-4BFA-A35D-5A13E32ABE05}">
  <dimension ref="B1:F58"/>
  <sheetViews>
    <sheetView topLeftCell="B1" workbookViewId="0">
      <selection activeCell="D10" sqref="D10"/>
    </sheetView>
  </sheetViews>
  <sheetFormatPr defaultRowHeight="15" x14ac:dyDescent="0.25"/>
  <cols>
    <col min="3" max="3" width="14.42578125" customWidth="1"/>
    <col min="4" max="4" width="18.85546875" customWidth="1"/>
    <col min="5" max="5" width="18.140625" customWidth="1"/>
    <col min="6" max="6" width="20.7109375" customWidth="1"/>
  </cols>
  <sheetData>
    <row r="1" spans="2:6" x14ac:dyDescent="0.25">
      <c r="B1" s="1" t="s">
        <v>122</v>
      </c>
      <c r="F1" s="109"/>
    </row>
    <row r="3" spans="2:6" ht="45" x14ac:dyDescent="0.25">
      <c r="C3" s="28" t="s">
        <v>123</v>
      </c>
      <c r="D3" s="9" t="s">
        <v>124</v>
      </c>
      <c r="E3" s="9" t="s">
        <v>125</v>
      </c>
      <c r="F3" s="163"/>
    </row>
    <row r="4" spans="2:6" x14ac:dyDescent="0.25">
      <c r="B4" s="4">
        <v>14</v>
      </c>
      <c r="C4" s="124">
        <f>'Net Cost'!B19</f>
        <v>9.1482297936070847</v>
      </c>
      <c r="D4" s="60">
        <f>'P14-17 Emissions'!B54</f>
        <v>6.786094529619886</v>
      </c>
      <c r="E4" s="69">
        <f>'Reliability Risk Hours'!N19</f>
        <v>117</v>
      </c>
      <c r="F4" s="164"/>
    </row>
    <row r="5" spans="2:6" x14ac:dyDescent="0.25">
      <c r="B5" s="4">
        <v>15</v>
      </c>
      <c r="C5" s="124">
        <f>'Net Cost'!B20</f>
        <v>10.925653777682868</v>
      </c>
      <c r="D5" s="60">
        <f>'P14-17 Emissions'!B55</f>
        <v>4.2</v>
      </c>
      <c r="E5" s="69">
        <f>'Reliability Risk Hours'!N20</f>
        <v>371</v>
      </c>
      <c r="F5" s="164"/>
    </row>
    <row r="6" spans="2:6" x14ac:dyDescent="0.25">
      <c r="B6" s="4">
        <v>16</v>
      </c>
      <c r="C6" s="124">
        <f>'Net Cost'!B21</f>
        <v>10.846411811098964</v>
      </c>
      <c r="D6" s="60">
        <f>'P14-17 Emissions'!B56</f>
        <v>4.8</v>
      </c>
      <c r="E6" s="69">
        <f>'Reliability Risk Hours'!N21</f>
        <v>104</v>
      </c>
      <c r="F6" s="164"/>
    </row>
    <row r="7" spans="2:6" x14ac:dyDescent="0.25">
      <c r="B7" s="4">
        <v>17</v>
      </c>
      <c r="C7" s="124">
        <f>'Net Cost'!B22</f>
        <v>10.604367254095976</v>
      </c>
      <c r="D7" s="60">
        <f>'P14-17 Emissions'!B57</f>
        <v>4.9000000000000004</v>
      </c>
      <c r="E7" s="69">
        <f>'Reliability Risk Hours'!N22</f>
        <v>115</v>
      </c>
      <c r="F7" s="164"/>
    </row>
    <row r="32" spans="3:5" ht="45" x14ac:dyDescent="0.25">
      <c r="C32" s="28" t="s">
        <v>123</v>
      </c>
      <c r="D32" s="9" t="s">
        <v>124</v>
      </c>
      <c r="E32" s="9" t="s">
        <v>125</v>
      </c>
    </row>
    <row r="33" spans="2:5" x14ac:dyDescent="0.25">
      <c r="B33" s="4">
        <v>12</v>
      </c>
      <c r="C33" s="124">
        <f>'Net Cost'!B17</f>
        <v>10.857590012694613</v>
      </c>
      <c r="D33" s="60">
        <f>'P14-17 Emissions'!B52</f>
        <v>4.3</v>
      </c>
      <c r="E33" s="69">
        <f>'Reliability Risk Hours'!N17</f>
        <v>1482</v>
      </c>
    </row>
    <row r="34" spans="2:5" x14ac:dyDescent="0.25">
      <c r="B34" s="4">
        <v>15</v>
      </c>
      <c r="C34" s="124">
        <f>C5</f>
        <v>10.925653777682868</v>
      </c>
      <c r="D34" s="60">
        <f>D5</f>
        <v>4.2</v>
      </c>
      <c r="E34" s="69">
        <f>E5</f>
        <v>371</v>
      </c>
    </row>
    <row r="35" spans="2:5" x14ac:dyDescent="0.25">
      <c r="B35" s="4">
        <v>16</v>
      </c>
      <c r="C35" s="124">
        <f t="shared" ref="C35:E36" si="0">C6</f>
        <v>10.846411811098964</v>
      </c>
      <c r="D35" s="60">
        <f t="shared" si="0"/>
        <v>4.8</v>
      </c>
      <c r="E35" s="69">
        <f t="shared" si="0"/>
        <v>104</v>
      </c>
    </row>
    <row r="36" spans="2:5" x14ac:dyDescent="0.25">
      <c r="B36" s="4">
        <v>17</v>
      </c>
      <c r="C36" s="124">
        <f t="shared" si="0"/>
        <v>10.604367254095976</v>
      </c>
      <c r="D36" s="60">
        <f t="shared" si="0"/>
        <v>4.9000000000000004</v>
      </c>
      <c r="E36" s="69">
        <f t="shared" si="0"/>
        <v>115</v>
      </c>
    </row>
    <row r="56" spans="2:5" ht="45" x14ac:dyDescent="0.25">
      <c r="C56" s="28" t="s">
        <v>123</v>
      </c>
      <c r="D56" s="9" t="s">
        <v>124</v>
      </c>
      <c r="E56" s="9" t="s">
        <v>125</v>
      </c>
    </row>
    <row r="57" spans="2:5" x14ac:dyDescent="0.25">
      <c r="B57" s="4">
        <v>10</v>
      </c>
      <c r="C57" s="124">
        <f>'Net Cost'!B15</f>
        <v>9.8232670362372545</v>
      </c>
      <c r="D57" s="60">
        <f>'P14-17 Emissions'!B50</f>
        <v>6.3</v>
      </c>
      <c r="E57" s="69">
        <f>'Reliability Risk Hours'!N15</f>
        <v>416</v>
      </c>
    </row>
    <row r="58" spans="2:5" x14ac:dyDescent="0.25">
      <c r="B58" s="4">
        <v>14</v>
      </c>
      <c r="C58" s="124">
        <f>C4</f>
        <v>9.1482297936070847</v>
      </c>
      <c r="D58" s="60">
        <f>D4</f>
        <v>6.786094529619886</v>
      </c>
      <c r="E58" s="69">
        <f>E4</f>
        <v>117</v>
      </c>
    </row>
  </sheetData>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41F1C3-445A-4D66-9D34-933FE544ADF7}">
  <sheetPr>
    <tabColor rgb="FF00B050"/>
  </sheetPr>
  <dimension ref="A1:N54"/>
  <sheetViews>
    <sheetView zoomScale="90" zoomScaleNormal="90" workbookViewId="0">
      <selection activeCell="C19" sqref="C19"/>
    </sheetView>
  </sheetViews>
  <sheetFormatPr defaultRowHeight="15" x14ac:dyDescent="0.25"/>
  <cols>
    <col min="1" max="1" width="3.85546875" customWidth="1"/>
    <col min="2" max="2" width="64.5703125" customWidth="1"/>
    <col min="3" max="13" width="13.28515625" customWidth="1"/>
  </cols>
  <sheetData>
    <row r="1" spans="1:13" x14ac:dyDescent="0.25">
      <c r="C1" s="109"/>
    </row>
    <row r="2" spans="1:13" x14ac:dyDescent="0.25">
      <c r="B2" s="1" t="s">
        <v>126</v>
      </c>
    </row>
    <row r="3" spans="1:13" x14ac:dyDescent="0.25">
      <c r="B3" t="s">
        <v>127</v>
      </c>
    </row>
    <row r="5" spans="1:13" x14ac:dyDescent="0.25">
      <c r="B5" s="1" t="s">
        <v>128</v>
      </c>
    </row>
    <row r="6" spans="1:13" x14ac:dyDescent="0.25">
      <c r="A6" t="s">
        <v>129</v>
      </c>
      <c r="B6" s="87" t="s">
        <v>130</v>
      </c>
    </row>
    <row r="7" spans="1:13" ht="33" x14ac:dyDescent="0.25">
      <c r="A7" t="s">
        <v>131</v>
      </c>
      <c r="B7" s="87" t="s">
        <v>132</v>
      </c>
    </row>
    <row r="8" spans="1:13" ht="30" x14ac:dyDescent="0.25">
      <c r="A8" t="s">
        <v>133</v>
      </c>
      <c r="B8" s="87" t="s">
        <v>134</v>
      </c>
    </row>
    <row r="9" spans="1:13" x14ac:dyDescent="0.25">
      <c r="A9" t="s">
        <v>135</v>
      </c>
      <c r="B9" s="87" t="s">
        <v>136</v>
      </c>
    </row>
    <row r="10" spans="1:13" x14ac:dyDescent="0.25">
      <c r="A10" t="s">
        <v>137</v>
      </c>
      <c r="B10" s="87" t="s">
        <v>138</v>
      </c>
    </row>
    <row r="11" spans="1:13" x14ac:dyDescent="0.25">
      <c r="A11" t="s">
        <v>139</v>
      </c>
      <c r="B11" t="s">
        <v>140</v>
      </c>
    </row>
    <row r="12" spans="1:13" x14ac:dyDescent="0.25">
      <c r="A12" t="s">
        <v>141</v>
      </c>
      <c r="B12" s="87" t="s">
        <v>142</v>
      </c>
    </row>
    <row r="13" spans="1:13" x14ac:dyDescent="0.25">
      <c r="A13" t="s">
        <v>143</v>
      </c>
      <c r="B13" s="87"/>
    </row>
    <row r="15" spans="1:13" x14ac:dyDescent="0.25">
      <c r="C15" t="s">
        <v>144</v>
      </c>
    </row>
    <row r="16" spans="1:13" x14ac:dyDescent="0.25">
      <c r="B16" s="1"/>
      <c r="C16" s="89">
        <v>2025</v>
      </c>
      <c r="D16" s="28">
        <v>2026</v>
      </c>
      <c r="E16" s="28">
        <v>2027</v>
      </c>
      <c r="F16" s="28">
        <v>2028</v>
      </c>
      <c r="G16" s="28">
        <v>2029</v>
      </c>
      <c r="H16" s="28">
        <v>2030</v>
      </c>
      <c r="I16" s="28">
        <v>2031</v>
      </c>
      <c r="J16" s="28">
        <v>2032</v>
      </c>
      <c r="K16" s="28">
        <v>2033</v>
      </c>
      <c r="L16" s="28">
        <v>2034</v>
      </c>
      <c r="M16" s="28">
        <v>2035</v>
      </c>
    </row>
    <row r="17" spans="2:14" x14ac:dyDescent="0.25">
      <c r="B17" s="10" t="s">
        <v>145</v>
      </c>
      <c r="C17" s="11"/>
      <c r="D17" s="11"/>
      <c r="E17" s="11"/>
      <c r="F17" s="11"/>
      <c r="G17" s="11"/>
      <c r="H17" s="11"/>
      <c r="I17" s="11"/>
      <c r="J17" s="11"/>
      <c r="K17" s="11"/>
      <c r="L17" s="11"/>
      <c r="M17" s="11"/>
    </row>
    <row r="18" spans="2:14" x14ac:dyDescent="0.25">
      <c r="B18" s="49" t="s">
        <v>146</v>
      </c>
      <c r="C18" s="14"/>
      <c r="D18" s="14"/>
      <c r="E18" s="14"/>
      <c r="F18" s="14"/>
      <c r="G18" s="14"/>
      <c r="H18" s="14"/>
      <c r="I18" s="14"/>
      <c r="J18" s="14"/>
      <c r="K18" s="14"/>
      <c r="L18" s="14">
        <f>150+275+275</f>
        <v>700</v>
      </c>
      <c r="M18" s="14">
        <f>150+275+275</f>
        <v>700</v>
      </c>
    </row>
    <row r="19" spans="2:14" x14ac:dyDescent="0.25">
      <c r="B19" s="49" t="s">
        <v>147</v>
      </c>
      <c r="C19" s="14">
        <v>50</v>
      </c>
      <c r="D19" s="14">
        <v>500</v>
      </c>
      <c r="E19" s="14">
        <v>500</v>
      </c>
      <c r="F19" s="14">
        <v>600</v>
      </c>
      <c r="G19" s="14">
        <v>600</v>
      </c>
      <c r="H19" s="14">
        <v>600</v>
      </c>
      <c r="I19" s="14">
        <v>600</v>
      </c>
      <c r="J19" s="14">
        <v>650</v>
      </c>
      <c r="K19" s="14">
        <v>650</v>
      </c>
      <c r="L19" s="14">
        <f>750+350</f>
        <v>1100</v>
      </c>
      <c r="M19" s="14">
        <v>1100</v>
      </c>
    </row>
    <row r="20" spans="2:14" x14ac:dyDescent="0.25">
      <c r="B20" s="49" t="s">
        <v>148</v>
      </c>
      <c r="C20" s="14"/>
      <c r="D20" s="14"/>
      <c r="E20" s="14"/>
      <c r="F20" s="14"/>
      <c r="G20" s="14"/>
      <c r="H20" s="14"/>
      <c r="I20" s="14"/>
      <c r="J20" s="14"/>
      <c r="K20" s="14"/>
      <c r="L20" s="14"/>
      <c r="M20" s="14"/>
    </row>
    <row r="21" spans="2:14" x14ac:dyDescent="0.25">
      <c r="B21" s="49" t="s">
        <v>149</v>
      </c>
      <c r="C21" s="14"/>
      <c r="D21" s="14"/>
      <c r="E21" s="14"/>
      <c r="F21" s="14"/>
      <c r="G21" s="14"/>
      <c r="H21" s="14"/>
      <c r="I21" s="14"/>
      <c r="J21" s="14"/>
      <c r="K21" s="14"/>
      <c r="L21" s="14"/>
      <c r="M21" s="14"/>
    </row>
    <row r="22" spans="2:14" x14ac:dyDescent="0.25">
      <c r="B22" s="49" t="s">
        <v>150</v>
      </c>
      <c r="C22" s="14"/>
      <c r="D22" s="14"/>
      <c r="E22" s="14"/>
      <c r="F22" s="14"/>
      <c r="G22" s="14"/>
      <c r="H22" s="14"/>
      <c r="I22" s="14"/>
      <c r="J22" s="14"/>
      <c r="K22" s="14"/>
      <c r="L22" s="14"/>
      <c r="M22" s="14"/>
    </row>
    <row r="23" spans="2:14" x14ac:dyDescent="0.25">
      <c r="B23" s="49" t="s">
        <v>151</v>
      </c>
      <c r="C23" s="14"/>
      <c r="D23" s="14"/>
      <c r="E23" s="14"/>
      <c r="F23" s="14"/>
      <c r="G23" s="14"/>
      <c r="H23" s="14"/>
      <c r="I23" s="14"/>
      <c r="J23" s="14"/>
      <c r="K23" s="14"/>
      <c r="L23" s="14"/>
      <c r="M23" s="14"/>
    </row>
    <row r="24" spans="2:14" x14ac:dyDescent="0.25">
      <c r="B24" s="49" t="s">
        <v>152</v>
      </c>
      <c r="C24" s="14"/>
      <c r="D24" s="14"/>
      <c r="E24" s="14"/>
      <c r="F24" s="14"/>
      <c r="G24" s="14"/>
      <c r="H24" s="14"/>
      <c r="I24" s="14"/>
      <c r="J24" s="14"/>
      <c r="K24" s="14"/>
      <c r="L24" s="14"/>
      <c r="M24" s="14"/>
    </row>
    <row r="25" spans="2:14" x14ac:dyDescent="0.25">
      <c r="B25" s="49" t="s">
        <v>153</v>
      </c>
      <c r="C25" s="14"/>
      <c r="D25" s="14">
        <v>5</v>
      </c>
      <c r="E25" s="14">
        <v>10</v>
      </c>
      <c r="F25" s="14">
        <v>15</v>
      </c>
      <c r="G25" s="14">
        <v>20</v>
      </c>
      <c r="H25" s="14">
        <v>25</v>
      </c>
      <c r="I25" s="14">
        <v>25</v>
      </c>
      <c r="J25" s="14">
        <v>25</v>
      </c>
      <c r="K25" s="14">
        <v>25</v>
      </c>
      <c r="L25" s="14">
        <v>25</v>
      </c>
      <c r="M25" s="14">
        <v>25</v>
      </c>
    </row>
    <row r="26" spans="2:14" x14ac:dyDescent="0.25">
      <c r="B26" s="49" t="s">
        <v>154</v>
      </c>
      <c r="C26" s="14"/>
      <c r="D26" s="14"/>
      <c r="E26" s="14">
        <v>10</v>
      </c>
      <c r="F26" s="14">
        <v>20</v>
      </c>
      <c r="G26" s="14">
        <v>30</v>
      </c>
      <c r="H26" s="14">
        <v>40</v>
      </c>
      <c r="I26" s="14">
        <v>50</v>
      </c>
      <c r="J26" s="14">
        <v>60</v>
      </c>
      <c r="K26" s="14">
        <v>70</v>
      </c>
      <c r="L26" s="14">
        <v>80</v>
      </c>
      <c r="M26" s="14">
        <v>100</v>
      </c>
    </row>
    <row r="27" spans="2:14" x14ac:dyDescent="0.25">
      <c r="B27" s="49" t="s">
        <v>155</v>
      </c>
      <c r="C27" s="14"/>
      <c r="D27" s="14"/>
      <c r="E27" s="14">
        <v>15</v>
      </c>
      <c r="F27" s="14">
        <v>30</v>
      </c>
      <c r="G27" s="14">
        <v>45</v>
      </c>
      <c r="H27" s="14">
        <v>60</v>
      </c>
      <c r="I27" s="14">
        <v>75</v>
      </c>
      <c r="J27" s="14">
        <v>90</v>
      </c>
      <c r="K27" s="14">
        <v>105</v>
      </c>
      <c r="L27" s="14">
        <v>120</v>
      </c>
      <c r="M27" s="14">
        <v>150</v>
      </c>
    </row>
    <row r="28" spans="2:14" x14ac:dyDescent="0.25">
      <c r="B28" s="49" t="s">
        <v>156</v>
      </c>
      <c r="C28" s="14"/>
      <c r="D28" s="14"/>
      <c r="E28" s="14"/>
      <c r="F28" s="14"/>
      <c r="G28" s="14"/>
      <c r="H28" s="14">
        <v>20</v>
      </c>
      <c r="I28" s="14">
        <v>40</v>
      </c>
      <c r="J28" s="14">
        <v>60</v>
      </c>
      <c r="K28" s="14">
        <v>80</v>
      </c>
      <c r="L28" s="14">
        <v>100</v>
      </c>
      <c r="M28" s="14">
        <v>120</v>
      </c>
    </row>
    <row r="29" spans="2:14" x14ac:dyDescent="0.25">
      <c r="B29" s="90" t="s">
        <v>157</v>
      </c>
      <c r="C29" s="14"/>
      <c r="D29" s="14"/>
      <c r="E29" s="14"/>
      <c r="F29" s="14"/>
      <c r="G29" s="14"/>
      <c r="H29" s="14"/>
      <c r="I29" s="14"/>
      <c r="J29" s="14"/>
      <c r="K29" s="14"/>
      <c r="L29" s="14"/>
      <c r="M29" s="14"/>
    </row>
    <row r="30" spans="2:14" x14ac:dyDescent="0.25">
      <c r="B30" s="125" t="s">
        <v>158</v>
      </c>
      <c r="C30" s="95"/>
      <c r="D30" s="95"/>
      <c r="E30" s="95"/>
      <c r="F30" s="95"/>
      <c r="G30" s="95"/>
      <c r="H30" s="95"/>
      <c r="I30" s="95"/>
      <c r="J30" s="95"/>
      <c r="K30" s="95"/>
      <c r="L30" s="95"/>
      <c r="M30" s="95"/>
    </row>
    <row r="31" spans="2:14" x14ac:dyDescent="0.25">
      <c r="B31" s="126" t="s">
        <v>159</v>
      </c>
      <c r="C31" s="14">
        <v>10</v>
      </c>
      <c r="D31" s="14">
        <v>13.103999999999999</v>
      </c>
      <c r="E31" s="14">
        <v>17.1714816</v>
      </c>
      <c r="F31" s="14">
        <v>22.50150948864</v>
      </c>
      <c r="G31" s="14">
        <v>29.485978033913856</v>
      </c>
      <c r="H31" s="14">
        <v>38.63842561564072</v>
      </c>
      <c r="I31" s="14">
        <v>50.631792926735599</v>
      </c>
      <c r="J31" s="14">
        <v>66.347901451194332</v>
      </c>
      <c r="K31" s="14">
        <v>86.942290061645053</v>
      </c>
      <c r="L31" s="14">
        <v>113.92917689677968</v>
      </c>
      <c r="M31" s="14">
        <v>149.26999999999998</v>
      </c>
      <c r="N31" s="74"/>
    </row>
    <row r="32" spans="2:14" x14ac:dyDescent="0.25">
      <c r="B32" s="126" t="s">
        <v>160</v>
      </c>
      <c r="C32" s="14">
        <v>0</v>
      </c>
      <c r="D32" s="14">
        <v>0</v>
      </c>
      <c r="E32" s="14">
        <v>0</v>
      </c>
      <c r="F32" s="14">
        <v>0</v>
      </c>
      <c r="G32" s="14">
        <v>0</v>
      </c>
      <c r="H32" s="14">
        <v>0</v>
      </c>
      <c r="I32" s="14">
        <v>0</v>
      </c>
      <c r="J32" s="14">
        <v>0</v>
      </c>
      <c r="K32" s="14">
        <v>0</v>
      </c>
      <c r="L32" s="14">
        <v>0</v>
      </c>
      <c r="M32" s="14">
        <v>0</v>
      </c>
    </row>
    <row r="33" spans="2:14" x14ac:dyDescent="0.25">
      <c r="B33" s="126" t="s">
        <v>161</v>
      </c>
      <c r="C33" s="14">
        <v>10</v>
      </c>
      <c r="D33" s="14">
        <v>12.32</v>
      </c>
      <c r="E33" s="14">
        <v>15.178240000000001</v>
      </c>
      <c r="F33" s="14">
        <v>18.699591680000001</v>
      </c>
      <c r="G33" s="14">
        <v>23.03789694976</v>
      </c>
      <c r="H33" s="14">
        <v>28.382689042104321</v>
      </c>
      <c r="I33" s="14">
        <v>34.967472899872526</v>
      </c>
      <c r="J33" s="14">
        <v>43.07992661264295</v>
      </c>
      <c r="K33" s="14">
        <v>53.074469586776111</v>
      </c>
      <c r="L33" s="14">
        <v>65.387746530908174</v>
      </c>
      <c r="M33" s="14">
        <f>301.9+68.7-M46</f>
        <v>80.599999999999966</v>
      </c>
      <c r="N33" s="74"/>
    </row>
    <row r="34" spans="2:14" x14ac:dyDescent="0.25">
      <c r="B34" s="127" t="s">
        <v>162</v>
      </c>
      <c r="C34" s="14">
        <v>0</v>
      </c>
      <c r="D34" s="14">
        <v>0</v>
      </c>
      <c r="E34" s="14">
        <v>0</v>
      </c>
      <c r="F34" s="14">
        <v>0</v>
      </c>
      <c r="G34" s="128">
        <v>3</v>
      </c>
      <c r="H34" s="128">
        <v>5</v>
      </c>
      <c r="I34" s="128">
        <v>9</v>
      </c>
      <c r="J34" s="128">
        <v>12</v>
      </c>
      <c r="K34" s="128">
        <v>14</v>
      </c>
      <c r="L34" s="128">
        <v>16</v>
      </c>
      <c r="M34" s="128">
        <v>18</v>
      </c>
    </row>
    <row r="36" spans="2:14" x14ac:dyDescent="0.25">
      <c r="C36" t="s">
        <v>163</v>
      </c>
    </row>
    <row r="37" spans="2:14" x14ac:dyDescent="0.25">
      <c r="C37" s="28">
        <v>2025</v>
      </c>
      <c r="D37" s="28">
        <v>2026</v>
      </c>
      <c r="E37" s="28">
        <v>2027</v>
      </c>
      <c r="F37" s="28">
        <v>2028</v>
      </c>
      <c r="G37" s="28">
        <v>2029</v>
      </c>
      <c r="H37" s="28">
        <v>2030</v>
      </c>
      <c r="I37" s="28">
        <v>2031</v>
      </c>
      <c r="J37" s="28">
        <v>2032</v>
      </c>
      <c r="K37" s="28">
        <v>2033</v>
      </c>
      <c r="L37" s="28">
        <v>2034</v>
      </c>
      <c r="M37" s="28">
        <v>2035</v>
      </c>
    </row>
    <row r="38" spans="2:14" x14ac:dyDescent="0.25">
      <c r="B38" s="10" t="s">
        <v>164</v>
      </c>
      <c r="C38" s="11"/>
      <c r="D38" s="11"/>
      <c r="E38" s="11"/>
      <c r="F38" s="11"/>
      <c r="G38" s="11"/>
      <c r="H38" s="11"/>
      <c r="I38" s="11"/>
      <c r="J38" s="11"/>
      <c r="K38" s="11"/>
      <c r="L38" s="11"/>
      <c r="M38" s="11"/>
    </row>
    <row r="39" spans="2:14" x14ac:dyDescent="0.25">
      <c r="B39" s="92" t="s">
        <v>165</v>
      </c>
      <c r="C39" s="14">
        <v>200</v>
      </c>
      <c r="D39" s="14">
        <v>200</v>
      </c>
      <c r="E39" s="14">
        <v>200</v>
      </c>
      <c r="F39" s="14">
        <v>200</v>
      </c>
      <c r="G39" s="14">
        <v>200</v>
      </c>
      <c r="H39" s="14">
        <v>200</v>
      </c>
      <c r="I39" s="14">
        <v>200</v>
      </c>
      <c r="J39" s="14">
        <v>200</v>
      </c>
      <c r="K39" s="14">
        <v>200</v>
      </c>
      <c r="L39" s="14">
        <v>200</v>
      </c>
      <c r="M39" s="14">
        <v>200</v>
      </c>
    </row>
    <row r="40" spans="2:14" x14ac:dyDescent="0.25">
      <c r="B40" s="92" t="s">
        <v>166</v>
      </c>
      <c r="C40" s="14">
        <v>595</v>
      </c>
      <c r="D40" s="14">
        <v>595</v>
      </c>
      <c r="E40" s="14">
        <v>595</v>
      </c>
      <c r="F40" s="14">
        <v>595</v>
      </c>
      <c r="G40" s="14">
        <v>595</v>
      </c>
      <c r="H40" s="14">
        <v>595</v>
      </c>
      <c r="I40" s="14">
        <v>595</v>
      </c>
      <c r="J40" s="14">
        <v>595</v>
      </c>
      <c r="K40" s="14">
        <v>595</v>
      </c>
      <c r="L40" s="14">
        <v>595</v>
      </c>
      <c r="M40" s="14">
        <v>595</v>
      </c>
    </row>
    <row r="41" spans="2:14" x14ac:dyDescent="0.25">
      <c r="B41" s="92" t="s">
        <v>167</v>
      </c>
      <c r="C41" s="14">
        <v>0</v>
      </c>
      <c r="D41" s="14">
        <v>0</v>
      </c>
      <c r="E41" s="14">
        <v>0</v>
      </c>
      <c r="F41" s="14">
        <v>0</v>
      </c>
      <c r="G41" s="14">
        <v>0</v>
      </c>
      <c r="H41" s="14">
        <v>0</v>
      </c>
      <c r="I41" s="14">
        <v>0</v>
      </c>
      <c r="J41" s="14">
        <v>0</v>
      </c>
      <c r="K41" s="14">
        <v>0</v>
      </c>
      <c r="L41" s="14">
        <v>0</v>
      </c>
      <c r="M41" s="14">
        <v>0</v>
      </c>
    </row>
    <row r="42" spans="2:14" x14ac:dyDescent="0.25">
      <c r="B42" s="92" t="s">
        <v>168</v>
      </c>
      <c r="C42" s="14">
        <v>430</v>
      </c>
      <c r="D42" s="14">
        <v>430</v>
      </c>
      <c r="E42" s="14">
        <v>430</v>
      </c>
      <c r="F42" s="14">
        <v>430</v>
      </c>
      <c r="G42" s="14">
        <v>430</v>
      </c>
      <c r="H42" s="14">
        <v>430</v>
      </c>
      <c r="I42" s="14">
        <v>430</v>
      </c>
      <c r="J42" s="14">
        <v>430</v>
      </c>
      <c r="K42" s="14">
        <v>430</v>
      </c>
      <c r="L42" s="14">
        <v>430</v>
      </c>
      <c r="M42" s="14">
        <v>430</v>
      </c>
    </row>
    <row r="43" spans="2:14" x14ac:dyDescent="0.25">
      <c r="B43" s="92" t="s">
        <v>169</v>
      </c>
      <c r="C43" s="14">
        <v>105</v>
      </c>
      <c r="D43" s="14">
        <v>105</v>
      </c>
      <c r="E43" s="14">
        <v>105</v>
      </c>
      <c r="F43" s="14">
        <v>105</v>
      </c>
      <c r="G43" s="14">
        <v>105</v>
      </c>
      <c r="H43" s="14">
        <v>105</v>
      </c>
      <c r="I43" s="14">
        <v>105</v>
      </c>
      <c r="J43" s="14">
        <v>105</v>
      </c>
      <c r="K43" s="14">
        <v>105</v>
      </c>
      <c r="L43" s="14">
        <v>105</v>
      </c>
      <c r="M43" s="14">
        <v>105</v>
      </c>
    </row>
    <row r="44" spans="2:14" x14ac:dyDescent="0.25">
      <c r="B44" s="92" t="s">
        <v>170</v>
      </c>
      <c r="C44" s="93">
        <v>1795.6</v>
      </c>
      <c r="D44" s="93">
        <v>1795.6</v>
      </c>
      <c r="E44" s="93">
        <v>1795.6</v>
      </c>
      <c r="F44" s="93">
        <v>1735.8</v>
      </c>
      <c r="G44" s="93">
        <v>1735.8</v>
      </c>
      <c r="H44" s="93">
        <v>1735.8</v>
      </c>
      <c r="I44" s="93">
        <v>1735.8</v>
      </c>
      <c r="J44" s="93">
        <v>1735.8</v>
      </c>
      <c r="K44" s="93">
        <v>1370.1999999999998</v>
      </c>
      <c r="L44" s="93">
        <v>1070.5</v>
      </c>
      <c r="M44" s="93">
        <v>863.9</v>
      </c>
    </row>
    <row r="45" spans="2:14" x14ac:dyDescent="0.25">
      <c r="B45" s="92" t="s">
        <v>171</v>
      </c>
      <c r="C45" s="93">
        <v>944.2</v>
      </c>
      <c r="D45" s="93">
        <v>944.2</v>
      </c>
      <c r="E45" s="93">
        <v>944.2</v>
      </c>
      <c r="F45" s="93">
        <v>944.2</v>
      </c>
      <c r="G45" s="93">
        <v>944.2</v>
      </c>
      <c r="H45" s="93">
        <v>944.2</v>
      </c>
      <c r="I45" s="93">
        <v>944.2</v>
      </c>
      <c r="J45" s="93">
        <v>825.7</v>
      </c>
      <c r="K45" s="93">
        <v>825.7</v>
      </c>
      <c r="L45" s="93">
        <v>825.7</v>
      </c>
      <c r="M45" s="93">
        <v>825.7</v>
      </c>
    </row>
    <row r="46" spans="2:14" x14ac:dyDescent="0.25">
      <c r="B46" s="92" t="s">
        <v>172</v>
      </c>
      <c r="C46" s="14">
        <v>134</v>
      </c>
      <c r="D46" s="14">
        <v>152</v>
      </c>
      <c r="E46" s="14">
        <v>170</v>
      </c>
      <c r="F46" s="14">
        <v>188</v>
      </c>
      <c r="G46" s="14">
        <v>206</v>
      </c>
      <c r="H46" s="14">
        <v>220</v>
      </c>
      <c r="I46" s="14">
        <v>234</v>
      </c>
      <c r="J46" s="14">
        <v>248</v>
      </c>
      <c r="K46" s="14">
        <v>262</v>
      </c>
      <c r="L46" s="14">
        <v>276</v>
      </c>
      <c r="M46" s="14">
        <v>290</v>
      </c>
    </row>
    <row r="47" spans="2:14" ht="15.75" thickBot="1" x14ac:dyDescent="0.3">
      <c r="B47" s="94" t="s">
        <v>173</v>
      </c>
      <c r="C47" s="91">
        <v>34</v>
      </c>
      <c r="D47" s="91">
        <v>42</v>
      </c>
      <c r="E47" s="91">
        <v>42</v>
      </c>
      <c r="F47" s="91">
        <v>42</v>
      </c>
      <c r="G47" s="91">
        <v>42</v>
      </c>
      <c r="H47" s="91">
        <v>42</v>
      </c>
      <c r="I47" s="91">
        <v>42</v>
      </c>
      <c r="J47" s="91">
        <v>42</v>
      </c>
      <c r="K47" s="91">
        <v>42</v>
      </c>
      <c r="L47" s="91">
        <v>42</v>
      </c>
      <c r="M47" s="91">
        <v>42</v>
      </c>
    </row>
    <row r="48" spans="2:14" ht="15.75" thickTop="1" x14ac:dyDescent="0.25">
      <c r="B48" s="129" t="s">
        <v>174</v>
      </c>
      <c r="C48" s="130">
        <f>SUM(C39:C47)</f>
        <v>4237.8</v>
      </c>
      <c r="D48" s="130">
        <f t="shared" ref="D48:M48" si="0">SUM(D39:D47)</f>
        <v>4263.8</v>
      </c>
      <c r="E48" s="130">
        <f t="shared" si="0"/>
        <v>4281.8</v>
      </c>
      <c r="F48" s="130">
        <f t="shared" si="0"/>
        <v>4240</v>
      </c>
      <c r="G48" s="130">
        <f t="shared" si="0"/>
        <v>4258</v>
      </c>
      <c r="H48" s="130">
        <f t="shared" si="0"/>
        <v>4272</v>
      </c>
      <c r="I48" s="130">
        <f t="shared" si="0"/>
        <v>4286</v>
      </c>
      <c r="J48" s="130">
        <f t="shared" si="0"/>
        <v>4181.5</v>
      </c>
      <c r="K48" s="130">
        <f t="shared" si="0"/>
        <v>3829.8999999999996</v>
      </c>
      <c r="L48" s="130">
        <f t="shared" si="0"/>
        <v>3544.2</v>
      </c>
      <c r="M48" s="130">
        <f t="shared" si="0"/>
        <v>3351.6000000000004</v>
      </c>
    </row>
    <row r="49" spans="2:13" x14ac:dyDescent="0.25">
      <c r="B49" s="131"/>
      <c r="C49" s="132"/>
      <c r="D49" s="132"/>
      <c r="E49" s="132"/>
      <c r="F49" s="132"/>
      <c r="G49" s="132"/>
      <c r="H49" s="132"/>
      <c r="I49" s="132"/>
      <c r="J49" s="132"/>
      <c r="K49" s="132"/>
      <c r="L49" s="132"/>
      <c r="M49" s="132"/>
    </row>
    <row r="50" spans="2:13" x14ac:dyDescent="0.25">
      <c r="B50" s="131" t="s">
        <v>175</v>
      </c>
    </row>
    <row r="51" spans="2:13" x14ac:dyDescent="0.25">
      <c r="B51" s="50" t="s">
        <v>159</v>
      </c>
      <c r="C51" s="14">
        <v>46.65</v>
      </c>
      <c r="D51" s="14">
        <v>55.129999999999995</v>
      </c>
      <c r="E51" s="14">
        <v>61.389999999999993</v>
      </c>
      <c r="F51" s="14">
        <v>68.19</v>
      </c>
      <c r="G51" s="14">
        <v>75.63</v>
      </c>
      <c r="H51" s="14">
        <v>84.22999999999999</v>
      </c>
      <c r="I51" s="14">
        <v>91.469999999999985</v>
      </c>
      <c r="J51" s="14">
        <v>98.70999999999998</v>
      </c>
      <c r="K51" s="14">
        <v>105.94999999999997</v>
      </c>
      <c r="L51" s="14">
        <v>113.18999999999997</v>
      </c>
      <c r="M51" s="14">
        <v>120.42999999999996</v>
      </c>
    </row>
    <row r="52" spans="2:13" x14ac:dyDescent="0.25">
      <c r="B52" s="50" t="s">
        <v>176</v>
      </c>
      <c r="C52" s="14">
        <v>37</v>
      </c>
      <c r="D52" s="14">
        <v>73</v>
      </c>
      <c r="E52" s="14">
        <v>108</v>
      </c>
      <c r="F52" s="14">
        <v>142</v>
      </c>
      <c r="G52" s="14">
        <v>174</v>
      </c>
      <c r="H52" s="14">
        <v>205</v>
      </c>
      <c r="I52" s="14">
        <v>236</v>
      </c>
      <c r="J52" s="14">
        <v>267</v>
      </c>
      <c r="K52" s="14">
        <v>298</v>
      </c>
      <c r="L52" s="14">
        <v>329</v>
      </c>
      <c r="M52" s="14">
        <v>360</v>
      </c>
    </row>
    <row r="53" spans="2:13" x14ac:dyDescent="0.25">
      <c r="B53" s="133"/>
      <c r="C53" s="51"/>
      <c r="D53" s="51"/>
      <c r="E53" s="51"/>
      <c r="F53" s="51"/>
      <c r="G53" s="51"/>
      <c r="H53" s="51"/>
      <c r="I53" s="51"/>
      <c r="J53" s="51"/>
      <c r="K53" s="51"/>
      <c r="L53" s="51"/>
      <c r="M53" s="51"/>
    </row>
    <row r="54" spans="2:13" x14ac:dyDescent="0.25">
      <c r="B54" s="133"/>
      <c r="C54" s="51"/>
      <c r="D54" s="51"/>
      <c r="E54" s="51"/>
      <c r="F54" s="51"/>
      <c r="G54" s="51"/>
      <c r="H54" s="51"/>
      <c r="I54" s="51"/>
      <c r="J54" s="51"/>
      <c r="K54" s="51"/>
      <c r="L54" s="51"/>
      <c r="M54" s="51"/>
    </row>
  </sheetData>
  <pageMargins left="0.7" right="0.7" top="0.75" bottom="0.75" header="0.3" footer="0.3"/>
  <legacyDrawing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8762D0-AFB3-43A8-BA93-584C08F579F8}">
  <sheetPr>
    <tabColor rgb="FF00B050"/>
  </sheetPr>
  <dimension ref="A1:N54"/>
  <sheetViews>
    <sheetView zoomScale="90" zoomScaleNormal="90" workbookViewId="0">
      <selection activeCell="D1" sqref="D1"/>
    </sheetView>
  </sheetViews>
  <sheetFormatPr defaultRowHeight="15" x14ac:dyDescent="0.25"/>
  <cols>
    <col min="1" max="1" width="3.85546875" customWidth="1"/>
    <col min="2" max="2" width="64.5703125" customWidth="1"/>
    <col min="3" max="13" width="13.28515625" customWidth="1"/>
  </cols>
  <sheetData>
    <row r="1" spans="1:13" x14ac:dyDescent="0.25">
      <c r="D1" s="109"/>
    </row>
    <row r="2" spans="1:13" x14ac:dyDescent="0.25">
      <c r="B2" s="1" t="s">
        <v>126</v>
      </c>
    </row>
    <row r="3" spans="1:13" x14ac:dyDescent="0.25">
      <c r="B3" t="s">
        <v>177</v>
      </c>
    </row>
    <row r="5" spans="1:13" x14ac:dyDescent="0.25">
      <c r="B5" s="1" t="s">
        <v>128</v>
      </c>
    </row>
    <row r="6" spans="1:13" ht="30" x14ac:dyDescent="0.25">
      <c r="A6" t="s">
        <v>129</v>
      </c>
      <c r="B6" s="87" t="s">
        <v>178</v>
      </c>
    </row>
    <row r="7" spans="1:13" ht="33" x14ac:dyDescent="0.25">
      <c r="A7" t="s">
        <v>131</v>
      </c>
      <c r="B7" s="87" t="s">
        <v>132</v>
      </c>
    </row>
    <row r="8" spans="1:13" ht="45" x14ac:dyDescent="0.25">
      <c r="A8" t="s">
        <v>133</v>
      </c>
      <c r="B8" s="88" t="s">
        <v>179</v>
      </c>
    </row>
    <row r="9" spans="1:13" x14ac:dyDescent="0.25">
      <c r="A9" t="s">
        <v>135</v>
      </c>
      <c r="B9" s="96" t="s">
        <v>136</v>
      </c>
    </row>
    <row r="10" spans="1:13" x14ac:dyDescent="0.25">
      <c r="A10" t="s">
        <v>137</v>
      </c>
      <c r="B10" s="87" t="s">
        <v>138</v>
      </c>
    </row>
    <row r="11" spans="1:13" x14ac:dyDescent="0.25">
      <c r="A11" t="s">
        <v>139</v>
      </c>
      <c r="B11" s="87" t="s">
        <v>180</v>
      </c>
    </row>
    <row r="12" spans="1:13" ht="30" x14ac:dyDescent="0.25">
      <c r="A12" t="s">
        <v>141</v>
      </c>
      <c r="B12" s="87" t="s">
        <v>181</v>
      </c>
    </row>
    <row r="13" spans="1:13" x14ac:dyDescent="0.25">
      <c r="A13" t="s">
        <v>143</v>
      </c>
      <c r="B13" s="87"/>
    </row>
    <row r="15" spans="1:13" x14ac:dyDescent="0.25">
      <c r="C15" t="s">
        <v>144</v>
      </c>
    </row>
    <row r="16" spans="1:13" x14ac:dyDescent="0.25">
      <c r="B16" s="1"/>
      <c r="C16" s="89">
        <v>2025</v>
      </c>
      <c r="D16" s="28">
        <v>2026</v>
      </c>
      <c r="E16" s="28">
        <v>2027</v>
      </c>
      <c r="F16" s="28">
        <v>2028</v>
      </c>
      <c r="G16" s="28">
        <v>2029</v>
      </c>
      <c r="H16" s="28">
        <v>2030</v>
      </c>
      <c r="I16" s="28">
        <v>2031</v>
      </c>
      <c r="J16" s="28">
        <v>2032</v>
      </c>
      <c r="K16" s="28">
        <v>2033</v>
      </c>
      <c r="L16" s="28">
        <v>2034</v>
      </c>
      <c r="M16" s="28">
        <v>2035</v>
      </c>
    </row>
    <row r="17" spans="2:14" x14ac:dyDescent="0.25">
      <c r="B17" s="10" t="s">
        <v>145</v>
      </c>
      <c r="C17" s="11"/>
      <c r="D17" s="11"/>
      <c r="E17" s="11"/>
      <c r="F17" s="11"/>
      <c r="G17" s="11"/>
      <c r="H17" s="11"/>
      <c r="I17" s="11"/>
      <c r="J17" s="11"/>
      <c r="K17" s="11"/>
      <c r="L17" s="11"/>
      <c r="M17" s="11"/>
    </row>
    <row r="18" spans="2:14" x14ac:dyDescent="0.25">
      <c r="B18" s="49" t="s">
        <v>146</v>
      </c>
      <c r="C18" s="97">
        <v>0</v>
      </c>
      <c r="D18" s="97">
        <v>0</v>
      </c>
      <c r="E18" s="97">
        <v>0</v>
      </c>
      <c r="F18" s="97">
        <v>0</v>
      </c>
      <c r="G18" s="97">
        <v>0</v>
      </c>
      <c r="H18" s="97">
        <v>50</v>
      </c>
      <c r="I18" s="97">
        <v>50</v>
      </c>
      <c r="J18" s="97">
        <v>50</v>
      </c>
      <c r="K18" s="97">
        <v>50</v>
      </c>
      <c r="L18" s="97">
        <v>500</v>
      </c>
      <c r="M18" s="98">
        <v>1000</v>
      </c>
    </row>
    <row r="19" spans="2:14" x14ac:dyDescent="0.25">
      <c r="B19" s="49" t="s">
        <v>147</v>
      </c>
      <c r="C19" s="97">
        <v>0</v>
      </c>
      <c r="D19" s="97">
        <v>500</v>
      </c>
      <c r="E19" s="97">
        <v>500</v>
      </c>
      <c r="F19" s="97">
        <v>600</v>
      </c>
      <c r="G19" s="97">
        <v>600</v>
      </c>
      <c r="H19" s="97">
        <v>1050</v>
      </c>
      <c r="I19" s="97">
        <v>1050</v>
      </c>
      <c r="J19" s="97">
        <v>1150</v>
      </c>
      <c r="K19" s="97">
        <v>1150</v>
      </c>
      <c r="L19" s="97">
        <v>1500</v>
      </c>
      <c r="M19" s="97">
        <v>1500</v>
      </c>
    </row>
    <row r="20" spans="2:14" x14ac:dyDescent="0.25">
      <c r="B20" s="49" t="s">
        <v>148</v>
      </c>
      <c r="C20" s="97"/>
      <c r="D20" s="97"/>
      <c r="E20" s="97"/>
      <c r="F20" s="97"/>
      <c r="G20" s="97"/>
      <c r="H20" s="97"/>
      <c r="I20" s="97"/>
      <c r="J20" s="97"/>
      <c r="K20" s="97"/>
      <c r="L20" s="97"/>
      <c r="M20" s="97"/>
    </row>
    <row r="21" spans="2:14" x14ac:dyDescent="0.25">
      <c r="B21" s="49" t="s">
        <v>149</v>
      </c>
      <c r="C21" s="97"/>
      <c r="D21" s="97"/>
      <c r="E21" s="97"/>
      <c r="F21" s="97"/>
      <c r="G21" s="97"/>
      <c r="H21" s="97"/>
      <c r="I21" s="97"/>
      <c r="J21" s="97"/>
      <c r="K21" s="97"/>
      <c r="L21" s="97"/>
      <c r="M21" s="97"/>
    </row>
    <row r="22" spans="2:14" x14ac:dyDescent="0.25">
      <c r="B22" s="49" t="s">
        <v>150</v>
      </c>
      <c r="C22" s="97"/>
      <c r="D22" s="97"/>
      <c r="E22" s="97"/>
      <c r="F22" s="97"/>
      <c r="G22" s="97"/>
      <c r="H22" s="97"/>
      <c r="I22" s="97"/>
      <c r="J22" s="97"/>
      <c r="K22" s="97"/>
      <c r="L22" s="97"/>
      <c r="M22" s="97"/>
    </row>
    <row r="23" spans="2:14" x14ac:dyDescent="0.25">
      <c r="B23" s="49" t="s">
        <v>151</v>
      </c>
      <c r="C23" s="97"/>
      <c r="D23" s="97"/>
      <c r="E23" s="97"/>
      <c r="F23" s="97"/>
      <c r="G23" s="97"/>
      <c r="H23" s="97"/>
      <c r="I23" s="97"/>
      <c r="J23" s="97"/>
      <c r="K23" s="97"/>
      <c r="L23" s="97"/>
      <c r="M23" s="97"/>
    </row>
    <row r="24" spans="2:14" x14ac:dyDescent="0.25">
      <c r="B24" s="49" t="s">
        <v>152</v>
      </c>
      <c r="C24" s="97"/>
      <c r="D24" s="97"/>
      <c r="E24" s="97"/>
      <c r="F24" s="97"/>
      <c r="G24" s="97"/>
      <c r="H24" s="97"/>
      <c r="I24" s="97"/>
      <c r="J24" s="97"/>
      <c r="K24" s="97"/>
      <c r="L24" s="97"/>
      <c r="M24" s="97"/>
    </row>
    <row r="25" spans="2:14" x14ac:dyDescent="0.25">
      <c r="B25" s="49" t="s">
        <v>153</v>
      </c>
      <c r="C25" s="14"/>
      <c r="D25" s="14">
        <v>5</v>
      </c>
      <c r="E25" s="14">
        <v>10</v>
      </c>
      <c r="F25" s="14">
        <v>15</v>
      </c>
      <c r="G25" s="14">
        <v>20</v>
      </c>
      <c r="H25" s="14">
        <v>25</v>
      </c>
      <c r="I25" s="14">
        <v>25</v>
      </c>
      <c r="J25" s="14">
        <v>25</v>
      </c>
      <c r="K25" s="14">
        <v>25</v>
      </c>
      <c r="L25" s="14">
        <v>25</v>
      </c>
      <c r="M25" s="14">
        <v>25</v>
      </c>
    </row>
    <row r="26" spans="2:14" x14ac:dyDescent="0.25">
      <c r="B26" s="49" t="s">
        <v>154</v>
      </c>
      <c r="C26" s="97">
        <v>0</v>
      </c>
      <c r="D26" s="97">
        <v>5</v>
      </c>
      <c r="E26" s="97">
        <v>140</v>
      </c>
      <c r="F26" s="97">
        <v>145</v>
      </c>
      <c r="G26" s="97">
        <v>150</v>
      </c>
      <c r="H26" s="97">
        <v>160</v>
      </c>
      <c r="I26" s="97">
        <v>165</v>
      </c>
      <c r="J26" s="97">
        <v>170</v>
      </c>
      <c r="K26" s="97">
        <v>175</v>
      </c>
      <c r="L26" s="97">
        <v>180</v>
      </c>
      <c r="M26" s="97">
        <v>200</v>
      </c>
    </row>
    <row r="27" spans="2:14" x14ac:dyDescent="0.25">
      <c r="B27" s="49" t="s">
        <v>155</v>
      </c>
      <c r="C27" s="97">
        <v>0</v>
      </c>
      <c r="D27" s="97">
        <v>5</v>
      </c>
      <c r="E27" s="97">
        <v>10</v>
      </c>
      <c r="F27" s="97">
        <v>15</v>
      </c>
      <c r="G27" s="97">
        <v>20</v>
      </c>
      <c r="H27" s="97">
        <v>240</v>
      </c>
      <c r="I27" s="97">
        <v>245</v>
      </c>
      <c r="J27" s="97">
        <v>250</v>
      </c>
      <c r="K27" s="97">
        <v>255</v>
      </c>
      <c r="L27" s="97">
        <v>260</v>
      </c>
      <c r="M27" s="97">
        <v>300</v>
      </c>
    </row>
    <row r="28" spans="2:14" x14ac:dyDescent="0.25">
      <c r="B28" s="49" t="s">
        <v>156</v>
      </c>
      <c r="C28" s="97">
        <v>0</v>
      </c>
      <c r="D28" s="97"/>
      <c r="E28" s="97"/>
      <c r="F28" s="97"/>
      <c r="G28" s="97"/>
      <c r="H28" s="97"/>
      <c r="I28" s="97"/>
      <c r="J28" s="97"/>
      <c r="K28" s="97"/>
      <c r="L28" s="97"/>
      <c r="M28" s="97"/>
    </row>
    <row r="29" spans="2:14" x14ac:dyDescent="0.25">
      <c r="B29" s="90" t="s">
        <v>157</v>
      </c>
      <c r="C29" s="97"/>
      <c r="D29" s="97"/>
      <c r="E29" s="97"/>
      <c r="F29" s="97"/>
      <c r="G29" s="97"/>
      <c r="H29" s="97"/>
      <c r="I29" s="97"/>
      <c r="J29" s="97"/>
      <c r="K29" s="97"/>
      <c r="L29" s="97"/>
      <c r="M29" s="97"/>
    </row>
    <row r="30" spans="2:14" x14ac:dyDescent="0.25">
      <c r="B30" s="125" t="s">
        <v>158</v>
      </c>
      <c r="C30" s="97"/>
      <c r="D30" s="97"/>
      <c r="E30" s="97"/>
      <c r="F30" s="97"/>
      <c r="G30" s="97"/>
      <c r="H30" s="97"/>
      <c r="I30" s="97"/>
      <c r="J30" s="97"/>
      <c r="K30" s="97"/>
      <c r="L30" s="97"/>
      <c r="M30" s="97"/>
    </row>
    <row r="31" spans="2:14" x14ac:dyDescent="0.25">
      <c r="B31" s="126" t="s">
        <v>159</v>
      </c>
      <c r="C31" s="99">
        <v>14</v>
      </c>
      <c r="D31" s="97">
        <v>18</v>
      </c>
      <c r="E31" s="97">
        <v>24</v>
      </c>
      <c r="F31" s="97">
        <v>31</v>
      </c>
      <c r="G31" s="97">
        <v>41</v>
      </c>
      <c r="H31" s="97">
        <v>56</v>
      </c>
      <c r="I31" s="97">
        <v>70</v>
      </c>
      <c r="J31" s="97">
        <v>91</v>
      </c>
      <c r="K31" s="97">
        <v>119</v>
      </c>
      <c r="L31" s="97">
        <v>156</v>
      </c>
      <c r="M31" s="97">
        <v>180</v>
      </c>
      <c r="N31" s="74"/>
    </row>
    <row r="32" spans="2:14" x14ac:dyDescent="0.25">
      <c r="B32" s="126" t="s">
        <v>160</v>
      </c>
      <c r="C32" s="135">
        <v>15</v>
      </c>
      <c r="D32" s="136">
        <v>30</v>
      </c>
      <c r="E32" s="136">
        <v>45</v>
      </c>
      <c r="F32" s="136">
        <v>60</v>
      </c>
      <c r="G32" s="136">
        <v>75</v>
      </c>
      <c r="H32" s="136">
        <v>90</v>
      </c>
      <c r="I32" s="136">
        <v>105</v>
      </c>
      <c r="J32" s="136">
        <v>120</v>
      </c>
      <c r="K32" s="136">
        <v>135</v>
      </c>
      <c r="L32" s="136">
        <v>150</v>
      </c>
      <c r="M32" s="136">
        <v>180</v>
      </c>
    </row>
    <row r="33" spans="2:14" x14ac:dyDescent="0.25">
      <c r="B33" s="126" t="s">
        <v>161</v>
      </c>
      <c r="C33" s="135">
        <v>16</v>
      </c>
      <c r="D33" s="135">
        <v>30</v>
      </c>
      <c r="E33" s="135">
        <v>50</v>
      </c>
      <c r="F33" s="135">
        <v>84</v>
      </c>
      <c r="G33" s="135">
        <v>118</v>
      </c>
      <c r="H33" s="135">
        <v>153</v>
      </c>
      <c r="I33" s="135">
        <v>190</v>
      </c>
      <c r="J33" s="135">
        <v>223</v>
      </c>
      <c r="K33" s="135">
        <v>263</v>
      </c>
      <c r="L33" s="135">
        <v>305</v>
      </c>
      <c r="M33" s="135">
        <v>350</v>
      </c>
      <c r="N33" s="74"/>
    </row>
    <row r="34" spans="2:14" x14ac:dyDescent="0.25">
      <c r="B34" s="127" t="s">
        <v>162</v>
      </c>
      <c r="C34" s="97">
        <v>0</v>
      </c>
      <c r="D34" s="97">
        <v>0</v>
      </c>
      <c r="E34" s="97">
        <v>0</v>
      </c>
      <c r="F34" s="97">
        <v>0</v>
      </c>
      <c r="G34" s="97">
        <v>3</v>
      </c>
      <c r="H34" s="97">
        <v>5</v>
      </c>
      <c r="I34" s="97">
        <v>9</v>
      </c>
      <c r="J34" s="97">
        <v>12</v>
      </c>
      <c r="K34" s="97">
        <v>14</v>
      </c>
      <c r="L34" s="97">
        <v>16</v>
      </c>
      <c r="M34" s="97">
        <v>18</v>
      </c>
    </row>
    <row r="36" spans="2:14" x14ac:dyDescent="0.25">
      <c r="C36" t="s">
        <v>163</v>
      </c>
    </row>
    <row r="37" spans="2:14" x14ac:dyDescent="0.25">
      <c r="C37" s="28">
        <v>2025</v>
      </c>
      <c r="D37" s="28">
        <v>2026</v>
      </c>
      <c r="E37" s="28">
        <v>2027</v>
      </c>
      <c r="F37" s="28">
        <v>2028</v>
      </c>
      <c r="G37" s="28">
        <v>2029</v>
      </c>
      <c r="H37" s="28">
        <v>2030</v>
      </c>
      <c r="I37" s="28">
        <v>2031</v>
      </c>
      <c r="J37" s="28">
        <v>2032</v>
      </c>
      <c r="K37" s="28">
        <v>2033</v>
      </c>
      <c r="L37" s="28">
        <v>2034</v>
      </c>
      <c r="M37" s="28">
        <v>2035</v>
      </c>
    </row>
    <row r="38" spans="2:14" x14ac:dyDescent="0.25">
      <c r="B38" s="10" t="s">
        <v>164</v>
      </c>
      <c r="C38" s="11"/>
      <c r="D38" s="11"/>
      <c r="E38" s="11"/>
      <c r="F38" s="11"/>
      <c r="G38" s="11"/>
      <c r="H38" s="11"/>
      <c r="I38" s="11"/>
      <c r="J38" s="11"/>
      <c r="K38" s="11"/>
      <c r="L38" s="11"/>
      <c r="M38" s="11"/>
    </row>
    <row r="39" spans="2:14" x14ac:dyDescent="0.25">
      <c r="B39" s="92" t="s">
        <v>165</v>
      </c>
      <c r="C39" s="14">
        <v>200</v>
      </c>
      <c r="D39" s="14">
        <v>200</v>
      </c>
      <c r="E39" s="14">
        <v>200</v>
      </c>
      <c r="F39" s="14">
        <v>200</v>
      </c>
      <c r="G39" s="14">
        <v>200</v>
      </c>
      <c r="H39" s="14">
        <v>200</v>
      </c>
      <c r="I39" s="14">
        <v>200</v>
      </c>
      <c r="J39" s="14">
        <v>200</v>
      </c>
      <c r="K39" s="14">
        <v>200</v>
      </c>
      <c r="L39" s="14">
        <v>200</v>
      </c>
      <c r="M39" s="14"/>
    </row>
    <row r="40" spans="2:14" x14ac:dyDescent="0.25">
      <c r="B40" s="92" t="s">
        <v>166</v>
      </c>
      <c r="C40" s="14">
        <v>595</v>
      </c>
      <c r="D40" s="14">
        <v>595</v>
      </c>
      <c r="E40" s="14">
        <v>595</v>
      </c>
      <c r="F40" s="14">
        <v>595</v>
      </c>
      <c r="G40" s="14">
        <v>595</v>
      </c>
      <c r="H40" s="14">
        <v>595</v>
      </c>
      <c r="I40" s="14">
        <v>595</v>
      </c>
      <c r="J40" s="14">
        <v>595</v>
      </c>
      <c r="K40" s="14">
        <v>595</v>
      </c>
      <c r="L40" s="14">
        <v>595</v>
      </c>
      <c r="M40" s="14"/>
    </row>
    <row r="41" spans="2:14" x14ac:dyDescent="0.25">
      <c r="B41" s="92" t="s">
        <v>167</v>
      </c>
      <c r="C41" s="14">
        <v>0</v>
      </c>
      <c r="D41" s="14">
        <v>0</v>
      </c>
      <c r="E41" s="14">
        <v>0</v>
      </c>
      <c r="F41" s="14">
        <v>0</v>
      </c>
      <c r="G41" s="14">
        <v>0</v>
      </c>
      <c r="H41" s="14">
        <v>0</v>
      </c>
      <c r="I41" s="14">
        <v>0</v>
      </c>
      <c r="J41" s="14">
        <v>0</v>
      </c>
      <c r="K41" s="14">
        <v>0</v>
      </c>
      <c r="L41" s="14">
        <v>0</v>
      </c>
      <c r="M41" s="14">
        <v>0</v>
      </c>
    </row>
    <row r="42" spans="2:14" x14ac:dyDescent="0.25">
      <c r="B42" s="92" t="s">
        <v>168</v>
      </c>
      <c r="C42" s="14">
        <v>430</v>
      </c>
      <c r="D42" s="14">
        <v>430</v>
      </c>
      <c r="E42" s="14">
        <v>430</v>
      </c>
      <c r="F42" s="14">
        <v>430</v>
      </c>
      <c r="G42" s="14">
        <v>430</v>
      </c>
      <c r="H42" s="14">
        <v>430</v>
      </c>
      <c r="I42" s="14">
        <v>430</v>
      </c>
      <c r="J42" s="14">
        <v>430</v>
      </c>
      <c r="K42" s="14">
        <v>430</v>
      </c>
      <c r="L42" s="14">
        <v>430</v>
      </c>
      <c r="M42" s="14">
        <v>430</v>
      </c>
    </row>
    <row r="43" spans="2:14" x14ac:dyDescent="0.25">
      <c r="B43" s="92" t="s">
        <v>169</v>
      </c>
      <c r="C43" s="14">
        <v>105</v>
      </c>
      <c r="D43" s="14">
        <v>105</v>
      </c>
      <c r="E43" s="14">
        <v>105</v>
      </c>
      <c r="F43" s="14">
        <v>105</v>
      </c>
      <c r="G43" s="14">
        <v>105</v>
      </c>
      <c r="H43" s="14">
        <v>105</v>
      </c>
      <c r="I43" s="14">
        <v>105</v>
      </c>
      <c r="J43" s="14">
        <v>105</v>
      </c>
      <c r="K43" s="14">
        <v>105</v>
      </c>
      <c r="L43" s="14">
        <v>105</v>
      </c>
      <c r="M43" s="14">
        <v>105</v>
      </c>
    </row>
    <row r="44" spans="2:14" x14ac:dyDescent="0.25">
      <c r="B44" s="92" t="s">
        <v>170</v>
      </c>
      <c r="C44" s="93">
        <v>1795.6</v>
      </c>
      <c r="D44" s="93">
        <v>1795.6</v>
      </c>
      <c r="E44" s="93">
        <v>1795.6</v>
      </c>
      <c r="F44" s="93">
        <v>1735.8</v>
      </c>
      <c r="G44" s="93">
        <v>1735.8</v>
      </c>
      <c r="H44" s="93">
        <v>1735.8</v>
      </c>
      <c r="I44" s="93">
        <v>1735.8</v>
      </c>
      <c r="J44" s="93">
        <v>1735.8</v>
      </c>
      <c r="K44" s="93">
        <v>1370.1999999999998</v>
      </c>
      <c r="L44" s="93">
        <v>1070.5</v>
      </c>
      <c r="M44" s="93">
        <v>863.9</v>
      </c>
    </row>
    <row r="45" spans="2:14" x14ac:dyDescent="0.25">
      <c r="B45" s="92" t="s">
        <v>171</v>
      </c>
      <c r="C45" s="93">
        <v>944.2</v>
      </c>
      <c r="D45" s="93">
        <v>944.2</v>
      </c>
      <c r="E45" s="93">
        <v>944.2</v>
      </c>
      <c r="F45" s="93">
        <v>944.2</v>
      </c>
      <c r="G45" s="93">
        <v>944.2</v>
      </c>
      <c r="H45" s="93">
        <v>944.2</v>
      </c>
      <c r="I45" s="93">
        <v>944.2</v>
      </c>
      <c r="J45" s="93">
        <v>825.7</v>
      </c>
      <c r="K45" s="93">
        <v>825.7</v>
      </c>
      <c r="L45" s="93">
        <v>825.7</v>
      </c>
      <c r="M45" s="93">
        <v>825.7</v>
      </c>
    </row>
    <row r="46" spans="2:14" x14ac:dyDescent="0.25">
      <c r="B46" s="92" t="s">
        <v>172</v>
      </c>
      <c r="C46" s="14">
        <v>134</v>
      </c>
      <c r="D46" s="14">
        <v>152</v>
      </c>
      <c r="E46" s="14">
        <v>170</v>
      </c>
      <c r="F46" s="14">
        <v>188</v>
      </c>
      <c r="G46" s="14">
        <v>206</v>
      </c>
      <c r="H46" s="14">
        <v>220</v>
      </c>
      <c r="I46" s="14">
        <v>234</v>
      </c>
      <c r="J46" s="14">
        <v>248</v>
      </c>
      <c r="K46" s="14">
        <v>262</v>
      </c>
      <c r="L46" s="14">
        <v>276</v>
      </c>
      <c r="M46" s="14">
        <v>290</v>
      </c>
    </row>
    <row r="47" spans="2:14" ht="15.75" thickBot="1" x14ac:dyDescent="0.3">
      <c r="B47" s="94" t="s">
        <v>173</v>
      </c>
      <c r="C47" s="91">
        <v>34</v>
      </c>
      <c r="D47" s="91">
        <v>42</v>
      </c>
      <c r="E47" s="91">
        <v>42</v>
      </c>
      <c r="F47" s="91">
        <v>42</v>
      </c>
      <c r="G47" s="91">
        <v>42</v>
      </c>
      <c r="H47" s="91">
        <v>42</v>
      </c>
      <c r="I47" s="91">
        <v>42</v>
      </c>
      <c r="J47" s="91">
        <v>42</v>
      </c>
      <c r="K47" s="91">
        <v>42</v>
      </c>
      <c r="L47" s="91">
        <v>42</v>
      </c>
      <c r="M47" s="91">
        <v>42</v>
      </c>
    </row>
    <row r="48" spans="2:14" ht="15.75" thickTop="1" x14ac:dyDescent="0.25">
      <c r="B48" s="129" t="s">
        <v>174</v>
      </c>
      <c r="C48" s="130">
        <f>SUM(C39:C47)</f>
        <v>4237.8</v>
      </c>
      <c r="D48" s="130">
        <f t="shared" ref="D48:M48" si="0">SUM(D39:D47)</f>
        <v>4263.8</v>
      </c>
      <c r="E48" s="130">
        <f t="shared" si="0"/>
        <v>4281.8</v>
      </c>
      <c r="F48" s="130">
        <f t="shared" si="0"/>
        <v>4240</v>
      </c>
      <c r="G48" s="130">
        <f t="shared" si="0"/>
        <v>4258</v>
      </c>
      <c r="H48" s="130">
        <f t="shared" si="0"/>
        <v>4272</v>
      </c>
      <c r="I48" s="130">
        <f t="shared" si="0"/>
        <v>4286</v>
      </c>
      <c r="J48" s="130">
        <f t="shared" si="0"/>
        <v>4181.5</v>
      </c>
      <c r="K48" s="130">
        <f t="shared" si="0"/>
        <v>3829.8999999999996</v>
      </c>
      <c r="L48" s="130">
        <f t="shared" si="0"/>
        <v>3544.2</v>
      </c>
      <c r="M48" s="130">
        <f t="shared" si="0"/>
        <v>2556.6000000000004</v>
      </c>
    </row>
    <row r="49" spans="2:13" x14ac:dyDescent="0.25">
      <c r="B49" s="131"/>
      <c r="C49" s="132"/>
      <c r="D49" s="132"/>
      <c r="E49" s="132"/>
      <c r="F49" s="132"/>
      <c r="G49" s="132"/>
      <c r="H49" s="132"/>
      <c r="I49" s="132"/>
      <c r="J49" s="132"/>
      <c r="K49" s="132"/>
      <c r="L49" s="132"/>
      <c r="M49" s="132"/>
    </row>
    <row r="50" spans="2:13" x14ac:dyDescent="0.25">
      <c r="B50" s="131" t="s">
        <v>175</v>
      </c>
    </row>
    <row r="51" spans="2:13" x14ac:dyDescent="0.25">
      <c r="B51" s="50" t="s">
        <v>159</v>
      </c>
      <c r="C51" s="14">
        <v>46.65</v>
      </c>
      <c r="D51" s="14">
        <v>55.129999999999995</v>
      </c>
      <c r="E51" s="14">
        <v>61.389999999999993</v>
      </c>
      <c r="F51" s="14">
        <v>68.19</v>
      </c>
      <c r="G51" s="14">
        <v>75.63</v>
      </c>
      <c r="H51" s="14">
        <v>84.22999999999999</v>
      </c>
      <c r="I51" s="14">
        <v>91.469999999999985</v>
      </c>
      <c r="J51" s="14">
        <v>98.70999999999998</v>
      </c>
      <c r="K51" s="14">
        <v>105.94999999999997</v>
      </c>
      <c r="L51" s="14">
        <v>113.18999999999997</v>
      </c>
      <c r="M51" s="14">
        <v>120.42999999999996</v>
      </c>
    </row>
    <row r="52" spans="2:13" x14ac:dyDescent="0.25">
      <c r="B52" s="50" t="s">
        <v>176</v>
      </c>
      <c r="C52" s="14">
        <v>37</v>
      </c>
      <c r="D52" s="14">
        <v>73</v>
      </c>
      <c r="E52" s="14">
        <v>108</v>
      </c>
      <c r="F52" s="14">
        <v>142</v>
      </c>
      <c r="G52" s="14">
        <v>174</v>
      </c>
      <c r="H52" s="14">
        <v>205</v>
      </c>
      <c r="I52" s="14">
        <v>236</v>
      </c>
      <c r="J52" s="14">
        <v>267</v>
      </c>
      <c r="K52" s="14">
        <v>298</v>
      </c>
      <c r="L52" s="14">
        <v>329</v>
      </c>
      <c r="M52" s="14">
        <v>360</v>
      </c>
    </row>
    <row r="53" spans="2:13" x14ac:dyDescent="0.25">
      <c r="B53" s="133"/>
      <c r="C53" s="51"/>
      <c r="D53" s="51"/>
      <c r="E53" s="51"/>
      <c r="F53" s="51"/>
      <c r="G53" s="51"/>
      <c r="H53" s="51"/>
      <c r="I53" s="51"/>
      <c r="J53" s="51"/>
      <c r="K53" s="51"/>
      <c r="L53" s="51"/>
      <c r="M53" s="51"/>
    </row>
    <row r="54" spans="2:13" x14ac:dyDescent="0.25">
      <c r="B54" s="133"/>
      <c r="C54" s="51"/>
      <c r="D54" s="51"/>
      <c r="E54" s="51"/>
      <c r="F54" s="51"/>
      <c r="G54" s="51"/>
      <c r="H54" s="51"/>
      <c r="I54" s="51"/>
      <c r="J54" s="51"/>
      <c r="K54" s="51"/>
      <c r="L54" s="51"/>
      <c r="M54" s="51"/>
    </row>
  </sheetData>
  <pageMargins left="0.7" right="0.7" top="0.75" bottom="0.75" header="0.3" footer="0.3"/>
  <legacyDrawing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5F37D-7EB6-487A-B980-7E437A426AA0}">
  <sheetPr>
    <tabColor theme="5"/>
  </sheetPr>
  <dimension ref="A1:O61"/>
  <sheetViews>
    <sheetView zoomScale="90" zoomScaleNormal="90" workbookViewId="0">
      <selection activeCell="E1" sqref="E1"/>
    </sheetView>
  </sheetViews>
  <sheetFormatPr defaultRowHeight="15" x14ac:dyDescent="0.25"/>
  <cols>
    <col min="1" max="1" width="3.85546875" customWidth="1"/>
    <col min="2" max="2" width="48.28515625" customWidth="1"/>
    <col min="3" max="13" width="13.28515625" customWidth="1"/>
  </cols>
  <sheetData>
    <row r="1" spans="1:5" x14ac:dyDescent="0.25">
      <c r="E1" s="109"/>
    </row>
    <row r="2" spans="1:5" x14ac:dyDescent="0.25">
      <c r="B2" s="1" t="s">
        <v>126</v>
      </c>
    </row>
    <row r="3" spans="1:5" x14ac:dyDescent="0.25">
      <c r="B3" s="1" t="s">
        <v>182</v>
      </c>
    </row>
    <row r="4" spans="1:5" x14ac:dyDescent="0.25">
      <c r="B4" s="1"/>
    </row>
    <row r="5" spans="1:5" x14ac:dyDescent="0.25">
      <c r="B5" s="1" t="s">
        <v>183</v>
      </c>
    </row>
    <row r="6" spans="1:5" x14ac:dyDescent="0.25">
      <c r="A6" t="s">
        <v>129</v>
      </c>
      <c r="B6" t="s">
        <v>184</v>
      </c>
    </row>
    <row r="7" spans="1:5" x14ac:dyDescent="0.25">
      <c r="A7" t="s">
        <v>131</v>
      </c>
      <c r="B7" t="s">
        <v>185</v>
      </c>
    </row>
    <row r="8" spans="1:5" x14ac:dyDescent="0.25">
      <c r="A8" t="s">
        <v>133</v>
      </c>
      <c r="B8" s="1"/>
    </row>
    <row r="11" spans="1:5" x14ac:dyDescent="0.25">
      <c r="B11" s="1" t="s">
        <v>128</v>
      </c>
    </row>
    <row r="12" spans="1:5" ht="30" x14ac:dyDescent="0.25">
      <c r="A12" t="s">
        <v>129</v>
      </c>
      <c r="B12" s="87" t="s">
        <v>130</v>
      </c>
    </row>
    <row r="13" spans="1:5" x14ac:dyDescent="0.25">
      <c r="A13" t="s">
        <v>131</v>
      </c>
      <c r="B13" s="87"/>
    </row>
    <row r="14" spans="1:5" ht="30" x14ac:dyDescent="0.25">
      <c r="A14" t="s">
        <v>133</v>
      </c>
      <c r="B14" s="87" t="s">
        <v>134</v>
      </c>
    </row>
    <row r="15" spans="1:5" x14ac:dyDescent="0.25">
      <c r="A15" t="s">
        <v>135</v>
      </c>
      <c r="B15" s="87" t="s">
        <v>136</v>
      </c>
    </row>
    <row r="16" spans="1:5" x14ac:dyDescent="0.25">
      <c r="A16" t="s">
        <v>137</v>
      </c>
      <c r="B16" s="87" t="s">
        <v>138</v>
      </c>
    </row>
    <row r="17" spans="1:13" x14ac:dyDescent="0.25">
      <c r="A17" t="s">
        <v>139</v>
      </c>
      <c r="B17" s="87"/>
    </row>
    <row r="18" spans="1:13" x14ac:dyDescent="0.25">
      <c r="A18" t="s">
        <v>141</v>
      </c>
    </row>
    <row r="19" spans="1:13" x14ac:dyDescent="0.25">
      <c r="A19" t="s">
        <v>143</v>
      </c>
      <c r="B19" s="87"/>
    </row>
    <row r="21" spans="1:13" x14ac:dyDescent="0.25">
      <c r="C21" t="s">
        <v>144</v>
      </c>
    </row>
    <row r="22" spans="1:13" x14ac:dyDescent="0.25">
      <c r="B22" s="1"/>
      <c r="C22" s="89">
        <v>2025</v>
      </c>
      <c r="D22" s="28">
        <v>2026</v>
      </c>
      <c r="E22" s="28">
        <v>2027</v>
      </c>
      <c r="F22" s="28">
        <v>2028</v>
      </c>
      <c r="G22" s="28">
        <v>2029</v>
      </c>
      <c r="H22" s="28">
        <v>2030</v>
      </c>
      <c r="I22" s="28">
        <v>2031</v>
      </c>
      <c r="J22" s="28">
        <v>2032</v>
      </c>
      <c r="K22" s="28">
        <v>2033</v>
      </c>
      <c r="L22" s="28">
        <v>2034</v>
      </c>
      <c r="M22" s="28">
        <v>2035</v>
      </c>
    </row>
    <row r="23" spans="1:13" x14ac:dyDescent="0.25">
      <c r="B23" s="10" t="s">
        <v>145</v>
      </c>
      <c r="C23" s="11"/>
      <c r="D23" s="11"/>
      <c r="E23" s="11"/>
      <c r="F23" s="11"/>
      <c r="G23" s="11"/>
      <c r="H23" s="11"/>
      <c r="I23" s="11"/>
      <c r="J23" s="11"/>
      <c r="K23" s="11"/>
      <c r="L23" s="11"/>
      <c r="M23" s="11"/>
    </row>
    <row r="24" spans="1:13" x14ac:dyDescent="0.25">
      <c r="B24" s="49" t="s">
        <v>146</v>
      </c>
      <c r="C24" s="14"/>
      <c r="D24" s="14"/>
      <c r="E24" s="14"/>
      <c r="F24" s="14"/>
      <c r="G24" s="14"/>
      <c r="H24" s="14"/>
      <c r="I24" s="14"/>
      <c r="J24" s="14"/>
      <c r="K24" s="14"/>
      <c r="L24" s="14">
        <f>150+275+275</f>
        <v>700</v>
      </c>
      <c r="M24" s="14">
        <f>150+275+275</f>
        <v>700</v>
      </c>
    </row>
    <row r="25" spans="1:13" x14ac:dyDescent="0.25">
      <c r="B25" s="49" t="s">
        <v>147</v>
      </c>
      <c r="C25" s="14">
        <v>50</v>
      </c>
      <c r="D25" s="14">
        <v>500</v>
      </c>
      <c r="E25" s="14">
        <v>500</v>
      </c>
      <c r="F25" s="14">
        <v>600</v>
      </c>
      <c r="G25" s="14">
        <v>600</v>
      </c>
      <c r="H25" s="14">
        <v>600</v>
      </c>
      <c r="I25" s="14">
        <v>600</v>
      </c>
      <c r="J25" s="14">
        <v>650</v>
      </c>
      <c r="K25" s="14">
        <v>650</v>
      </c>
      <c r="L25" s="14">
        <f>750+350</f>
        <v>1100</v>
      </c>
      <c r="M25" s="14">
        <v>1100</v>
      </c>
    </row>
    <row r="26" spans="1:13" x14ac:dyDescent="0.25">
      <c r="B26" s="49" t="s">
        <v>148</v>
      </c>
      <c r="C26" s="14"/>
      <c r="D26" s="14"/>
      <c r="E26" s="14"/>
      <c r="F26" s="14"/>
      <c r="G26" s="14"/>
      <c r="H26" s="14"/>
      <c r="I26" s="14"/>
      <c r="J26" s="14"/>
      <c r="K26" s="14"/>
      <c r="L26" s="14"/>
      <c r="M26" s="14"/>
    </row>
    <row r="27" spans="1:13" x14ac:dyDescent="0.25">
      <c r="B27" s="49" t="s">
        <v>149</v>
      </c>
      <c r="C27" s="14"/>
      <c r="D27" s="14"/>
      <c r="E27" s="14"/>
      <c r="F27" s="14"/>
      <c r="G27" s="14"/>
      <c r="H27" s="14"/>
      <c r="I27" s="14"/>
      <c r="J27" s="14"/>
      <c r="K27" s="14"/>
      <c r="L27" s="14"/>
      <c r="M27" s="14"/>
    </row>
    <row r="28" spans="1:13" x14ac:dyDescent="0.25">
      <c r="B28" s="49" t="s">
        <v>150</v>
      </c>
      <c r="C28" s="14"/>
      <c r="D28" s="14"/>
      <c r="E28" s="14"/>
      <c r="F28" s="14"/>
      <c r="G28" s="14"/>
      <c r="H28" s="14"/>
      <c r="I28" s="14"/>
      <c r="J28" s="14"/>
      <c r="K28" s="14"/>
      <c r="L28" s="14"/>
      <c r="M28" s="14"/>
    </row>
    <row r="29" spans="1:13" x14ac:dyDescent="0.25">
      <c r="B29" s="49" t="s">
        <v>151</v>
      </c>
      <c r="C29" s="93"/>
      <c r="D29" s="93"/>
      <c r="E29" s="93">
        <v>100</v>
      </c>
      <c r="F29" s="93">
        <v>100</v>
      </c>
      <c r="G29" s="93">
        <v>100</v>
      </c>
      <c r="H29" s="93">
        <v>200</v>
      </c>
      <c r="I29" s="93">
        <v>200</v>
      </c>
      <c r="J29" s="93">
        <v>200</v>
      </c>
      <c r="K29" s="93">
        <v>200</v>
      </c>
      <c r="L29" s="93">
        <v>200</v>
      </c>
      <c r="M29" s="93">
        <v>200</v>
      </c>
    </row>
    <row r="30" spans="1:13" x14ac:dyDescent="0.25">
      <c r="B30" s="49" t="s">
        <v>152</v>
      </c>
      <c r="C30" s="93"/>
      <c r="D30" s="93"/>
      <c r="E30" s="93"/>
      <c r="F30" s="93"/>
      <c r="G30" s="93"/>
      <c r="H30" s="93"/>
      <c r="I30" s="93"/>
      <c r="J30" s="93"/>
      <c r="K30" s="93"/>
      <c r="L30" s="93"/>
      <c r="M30" s="93"/>
    </row>
    <row r="31" spans="1:13" x14ac:dyDescent="0.25">
      <c r="B31" s="49" t="s">
        <v>153</v>
      </c>
      <c r="C31" s="14"/>
      <c r="D31" s="14">
        <v>5</v>
      </c>
      <c r="E31" s="14">
        <v>10</v>
      </c>
      <c r="F31" s="14">
        <v>15</v>
      </c>
      <c r="G31" s="14">
        <v>20</v>
      </c>
      <c r="H31" s="14">
        <v>25</v>
      </c>
      <c r="I31" s="14">
        <v>25</v>
      </c>
      <c r="J31" s="14">
        <v>25</v>
      </c>
      <c r="K31" s="14">
        <v>25</v>
      </c>
      <c r="L31" s="14">
        <v>25</v>
      </c>
      <c r="M31" s="14">
        <v>25</v>
      </c>
    </row>
    <row r="32" spans="1:13" x14ac:dyDescent="0.25">
      <c r="B32" s="49" t="s">
        <v>154</v>
      </c>
      <c r="C32" s="97"/>
      <c r="D32" s="14"/>
      <c r="E32" s="14">
        <v>100</v>
      </c>
      <c r="F32" s="14">
        <v>100</v>
      </c>
      <c r="G32" s="14">
        <v>100</v>
      </c>
      <c r="H32" s="14">
        <v>100</v>
      </c>
      <c r="I32" s="14">
        <v>100</v>
      </c>
      <c r="J32" s="14">
        <v>100</v>
      </c>
      <c r="K32" s="14">
        <v>100</v>
      </c>
      <c r="L32" s="14">
        <v>100</v>
      </c>
      <c r="M32" s="14">
        <v>100</v>
      </c>
    </row>
    <row r="33" spans="2:15" x14ac:dyDescent="0.25">
      <c r="B33" s="49" t="s">
        <v>155</v>
      </c>
      <c r="C33" s="97"/>
      <c r="D33" s="14"/>
      <c r="E33" s="14"/>
      <c r="F33" s="14"/>
      <c r="G33" s="14"/>
      <c r="H33" s="14"/>
      <c r="I33" s="14"/>
      <c r="J33" s="14"/>
      <c r="K33" s="14"/>
      <c r="L33" s="14"/>
      <c r="M33" s="14"/>
    </row>
    <row r="34" spans="2:15" x14ac:dyDescent="0.25">
      <c r="B34" s="49" t="s">
        <v>156</v>
      </c>
      <c r="C34" s="14"/>
      <c r="D34" s="14"/>
      <c r="E34" s="14"/>
      <c r="F34" s="14"/>
      <c r="G34" s="14"/>
      <c r="H34" s="14"/>
      <c r="I34" s="14"/>
      <c r="J34" s="14"/>
      <c r="K34" s="14"/>
      <c r="L34" s="14"/>
      <c r="M34" s="14"/>
    </row>
    <row r="35" spans="2:15" x14ac:dyDescent="0.25">
      <c r="B35" s="90" t="s">
        <v>157</v>
      </c>
      <c r="C35" s="14"/>
      <c r="D35" s="14"/>
      <c r="E35" s="14"/>
      <c r="F35" s="14"/>
      <c r="G35" s="14"/>
      <c r="H35" s="14"/>
      <c r="I35" s="14"/>
      <c r="J35" s="14"/>
      <c r="K35" s="14"/>
      <c r="L35" s="14"/>
      <c r="M35" s="14"/>
    </row>
    <row r="36" spans="2:15" x14ac:dyDescent="0.25">
      <c r="B36" s="125" t="s">
        <v>158</v>
      </c>
      <c r="C36" s="95"/>
      <c r="D36" s="95"/>
      <c r="E36" s="95"/>
      <c r="F36" s="95"/>
      <c r="G36" s="95"/>
      <c r="H36" s="95"/>
      <c r="I36" s="95"/>
      <c r="J36" s="95"/>
      <c r="K36" s="95"/>
      <c r="L36" s="95"/>
      <c r="M36" s="95"/>
    </row>
    <row r="37" spans="2:15" x14ac:dyDescent="0.25">
      <c r="B37" s="126" t="s">
        <v>159</v>
      </c>
      <c r="C37" s="14">
        <v>10</v>
      </c>
      <c r="D37" s="14">
        <v>13.103999999999999</v>
      </c>
      <c r="E37" s="14">
        <v>17.1714816</v>
      </c>
      <c r="F37" s="14">
        <v>22.50150948864</v>
      </c>
      <c r="G37" s="14">
        <v>29.485978033913856</v>
      </c>
      <c r="H37" s="14">
        <v>38.63842561564072</v>
      </c>
      <c r="I37" s="14">
        <v>50.631792926735599</v>
      </c>
      <c r="J37" s="14">
        <v>66.347901451194332</v>
      </c>
      <c r="K37" s="14">
        <v>86.942290061645053</v>
      </c>
      <c r="L37" s="14">
        <v>113.92917689677968</v>
      </c>
      <c r="M37" s="14">
        <v>149.26999999999998</v>
      </c>
      <c r="N37" s="74"/>
    </row>
    <row r="38" spans="2:15" x14ac:dyDescent="0.25">
      <c r="B38" s="126" t="s">
        <v>160</v>
      </c>
      <c r="C38" s="14">
        <v>0</v>
      </c>
      <c r="D38" s="14">
        <v>0</v>
      </c>
      <c r="E38" s="14">
        <v>0</v>
      </c>
      <c r="F38" s="14">
        <v>0</v>
      </c>
      <c r="G38" s="14">
        <v>0</v>
      </c>
      <c r="H38" s="14">
        <v>0</v>
      </c>
      <c r="I38" s="14">
        <v>0</v>
      </c>
      <c r="J38" s="14">
        <v>0</v>
      </c>
      <c r="K38" s="14">
        <v>0</v>
      </c>
      <c r="L38" s="14">
        <v>0</v>
      </c>
      <c r="M38" s="14">
        <v>0</v>
      </c>
    </row>
    <row r="39" spans="2:15" x14ac:dyDescent="0.25">
      <c r="B39" s="126" t="s">
        <v>161</v>
      </c>
      <c r="C39" s="14">
        <v>10</v>
      </c>
      <c r="D39" s="14">
        <v>12.32</v>
      </c>
      <c r="E39" s="14">
        <v>15.178240000000001</v>
      </c>
      <c r="F39" s="14">
        <v>18.699591680000001</v>
      </c>
      <c r="G39" s="14">
        <v>23.03789694976</v>
      </c>
      <c r="H39" s="14">
        <v>28.382689042104321</v>
      </c>
      <c r="I39" s="14">
        <v>34.967472899872526</v>
      </c>
      <c r="J39" s="14">
        <v>43.07992661264295</v>
      </c>
      <c r="K39" s="14">
        <v>53.074469586776111</v>
      </c>
      <c r="L39" s="14">
        <v>65.387746530908174</v>
      </c>
      <c r="M39" s="14">
        <f>301.9+68.7-M53</f>
        <v>80.599999999999966</v>
      </c>
      <c r="N39" s="74"/>
      <c r="O39" s="57"/>
    </row>
    <row r="40" spans="2:15" x14ac:dyDescent="0.25">
      <c r="B40" s="127" t="s">
        <v>162</v>
      </c>
      <c r="C40" s="14">
        <v>0</v>
      </c>
      <c r="D40" s="14">
        <v>0</v>
      </c>
      <c r="E40" s="14">
        <v>0</v>
      </c>
      <c r="F40" s="14">
        <v>0</v>
      </c>
      <c r="G40" s="128">
        <v>3</v>
      </c>
      <c r="H40" s="128">
        <v>5</v>
      </c>
      <c r="I40" s="128">
        <v>9</v>
      </c>
      <c r="J40" s="128">
        <v>12</v>
      </c>
      <c r="K40" s="128">
        <v>14</v>
      </c>
      <c r="L40" s="128">
        <v>16</v>
      </c>
      <c r="M40" s="128">
        <v>18</v>
      </c>
    </row>
    <row r="41" spans="2:15" x14ac:dyDescent="0.25">
      <c r="B41" s="137" t="s">
        <v>186</v>
      </c>
      <c r="C41" s="99"/>
      <c r="D41" s="99"/>
      <c r="E41" s="99"/>
      <c r="F41" s="99"/>
      <c r="G41" s="99"/>
      <c r="H41" s="99"/>
      <c r="I41" s="99">
        <v>250</v>
      </c>
      <c r="J41" s="99">
        <v>250</v>
      </c>
      <c r="K41" s="99">
        <v>250</v>
      </c>
      <c r="L41" s="99">
        <v>250</v>
      </c>
      <c r="M41" s="99">
        <v>250</v>
      </c>
    </row>
    <row r="43" spans="2:15" x14ac:dyDescent="0.25">
      <c r="C43" t="s">
        <v>163</v>
      </c>
    </row>
    <row r="44" spans="2:15" x14ac:dyDescent="0.25">
      <c r="C44" s="28">
        <v>2025</v>
      </c>
      <c r="D44" s="28">
        <v>2026</v>
      </c>
      <c r="E44" s="28">
        <v>2027</v>
      </c>
      <c r="F44" s="28">
        <v>2028</v>
      </c>
      <c r="G44" s="28">
        <v>2029</v>
      </c>
      <c r="H44" s="28">
        <v>2030</v>
      </c>
      <c r="I44" s="28">
        <v>2031</v>
      </c>
      <c r="J44" s="28">
        <v>2032</v>
      </c>
      <c r="K44" s="28">
        <v>2033</v>
      </c>
      <c r="L44" s="28">
        <v>2034</v>
      </c>
      <c r="M44" s="28">
        <v>2035</v>
      </c>
    </row>
    <row r="45" spans="2:15" x14ac:dyDescent="0.25">
      <c r="B45" s="10" t="s">
        <v>164</v>
      </c>
      <c r="C45" s="11"/>
      <c r="D45" s="11"/>
      <c r="E45" s="11"/>
      <c r="F45" s="11"/>
      <c r="G45" s="11"/>
      <c r="H45" s="11"/>
      <c r="I45" s="11"/>
      <c r="J45" s="11"/>
      <c r="K45" s="11"/>
      <c r="L45" s="11"/>
      <c r="M45" s="11"/>
    </row>
    <row r="46" spans="2:15" x14ac:dyDescent="0.25">
      <c r="B46" s="92" t="s">
        <v>165</v>
      </c>
      <c r="C46" s="14">
        <v>200</v>
      </c>
      <c r="D46" s="14">
        <v>200</v>
      </c>
      <c r="E46" s="14">
        <v>200</v>
      </c>
      <c r="F46" s="14">
        <v>200</v>
      </c>
      <c r="G46" s="14">
        <v>200</v>
      </c>
      <c r="H46" s="14">
        <v>200</v>
      </c>
      <c r="I46" s="14">
        <v>200</v>
      </c>
      <c r="J46" s="14">
        <v>200</v>
      </c>
      <c r="K46" s="14">
        <v>200</v>
      </c>
      <c r="L46" s="14">
        <v>200</v>
      </c>
      <c r="M46" s="14">
        <v>200</v>
      </c>
    </row>
    <row r="47" spans="2:15" x14ac:dyDescent="0.25">
      <c r="B47" s="92" t="s">
        <v>166</v>
      </c>
      <c r="C47" s="14">
        <v>595</v>
      </c>
      <c r="D47" s="14">
        <v>595</v>
      </c>
      <c r="E47" s="14">
        <v>595</v>
      </c>
      <c r="F47" s="14">
        <v>595</v>
      </c>
      <c r="G47" s="14">
        <v>595</v>
      </c>
      <c r="H47" s="14">
        <v>595</v>
      </c>
      <c r="I47" s="14">
        <v>595</v>
      </c>
      <c r="J47" s="14">
        <v>595</v>
      </c>
      <c r="K47" s="14">
        <v>595</v>
      </c>
      <c r="L47" s="14">
        <v>595</v>
      </c>
      <c r="M47" s="14">
        <v>595</v>
      </c>
    </row>
    <row r="48" spans="2:15" x14ac:dyDescent="0.25">
      <c r="B48" s="92" t="s">
        <v>167</v>
      </c>
      <c r="C48" s="14">
        <v>0</v>
      </c>
      <c r="D48" s="14">
        <v>0</v>
      </c>
      <c r="E48" s="14">
        <v>0</v>
      </c>
      <c r="F48" s="14">
        <v>0</v>
      </c>
      <c r="G48" s="14">
        <v>0</v>
      </c>
      <c r="H48" s="14">
        <v>0</v>
      </c>
      <c r="I48" s="14">
        <v>0</v>
      </c>
      <c r="J48" s="14">
        <v>0</v>
      </c>
      <c r="K48" s="14">
        <v>0</v>
      </c>
      <c r="L48" s="14">
        <v>0</v>
      </c>
      <c r="M48" s="14">
        <v>0</v>
      </c>
    </row>
    <row r="49" spans="2:13" x14ac:dyDescent="0.25">
      <c r="B49" s="92" t="s">
        <v>168</v>
      </c>
      <c r="C49" s="14">
        <v>430</v>
      </c>
      <c r="D49" s="14">
        <v>430</v>
      </c>
      <c r="E49" s="14">
        <v>430</v>
      </c>
      <c r="F49" s="14">
        <v>430</v>
      </c>
      <c r="G49" s="14">
        <v>430</v>
      </c>
      <c r="H49" s="14">
        <v>430</v>
      </c>
      <c r="I49" s="14">
        <v>430</v>
      </c>
      <c r="J49" s="14">
        <v>430</v>
      </c>
      <c r="K49" s="14">
        <v>430</v>
      </c>
      <c r="L49" s="14">
        <v>430</v>
      </c>
      <c r="M49" s="14">
        <v>430</v>
      </c>
    </row>
    <row r="50" spans="2:13" x14ac:dyDescent="0.25">
      <c r="B50" s="92" t="s">
        <v>169</v>
      </c>
      <c r="C50" s="14">
        <v>105</v>
      </c>
      <c r="D50" s="14">
        <v>105</v>
      </c>
      <c r="E50" s="14">
        <v>105</v>
      </c>
      <c r="F50" s="14">
        <v>105</v>
      </c>
      <c r="G50" s="14">
        <v>105</v>
      </c>
      <c r="H50" s="14">
        <v>105</v>
      </c>
      <c r="I50" s="14">
        <v>105</v>
      </c>
      <c r="J50" s="14">
        <v>105</v>
      </c>
      <c r="K50" s="14">
        <v>105</v>
      </c>
      <c r="L50" s="14">
        <v>105</v>
      </c>
      <c r="M50" s="14">
        <v>105</v>
      </c>
    </row>
    <row r="51" spans="2:13" x14ac:dyDescent="0.25">
      <c r="B51" s="92" t="s">
        <v>170</v>
      </c>
      <c r="C51" s="93">
        <v>1795.6</v>
      </c>
      <c r="D51" s="93">
        <v>1795.6</v>
      </c>
      <c r="E51" s="93">
        <v>1795.6</v>
      </c>
      <c r="F51" s="93">
        <v>1735.8</v>
      </c>
      <c r="G51" s="93">
        <v>1735.8</v>
      </c>
      <c r="H51" s="93">
        <v>1735.8</v>
      </c>
      <c r="I51" s="93">
        <v>1735.8</v>
      </c>
      <c r="J51" s="93">
        <v>1735.8</v>
      </c>
      <c r="K51" s="93">
        <v>1370.1999999999998</v>
      </c>
      <c r="L51" s="93">
        <v>1070.5</v>
      </c>
      <c r="M51" s="93">
        <v>863.9</v>
      </c>
    </row>
    <row r="52" spans="2:13" x14ac:dyDescent="0.25">
      <c r="B52" s="92" t="s">
        <v>171</v>
      </c>
      <c r="C52" s="93">
        <v>944.2</v>
      </c>
      <c r="D52" s="93">
        <v>944.2</v>
      </c>
      <c r="E52" s="93">
        <v>944.2</v>
      </c>
      <c r="F52" s="93">
        <v>944.2</v>
      </c>
      <c r="G52" s="93">
        <v>944.2</v>
      </c>
      <c r="H52" s="93">
        <v>944.2</v>
      </c>
      <c r="I52" s="93">
        <v>944.2</v>
      </c>
      <c r="J52" s="93">
        <v>825.7</v>
      </c>
      <c r="K52" s="93">
        <v>825.7</v>
      </c>
      <c r="L52" s="93">
        <v>825.7</v>
      </c>
      <c r="M52" s="93">
        <v>825.7</v>
      </c>
    </row>
    <row r="53" spans="2:13" x14ac:dyDescent="0.25">
      <c r="B53" s="92" t="s">
        <v>172</v>
      </c>
      <c r="C53" s="14">
        <v>134</v>
      </c>
      <c r="D53" s="14">
        <v>152</v>
      </c>
      <c r="E53" s="14">
        <v>170</v>
      </c>
      <c r="F53" s="14">
        <v>188</v>
      </c>
      <c r="G53" s="14">
        <v>206</v>
      </c>
      <c r="H53" s="14">
        <v>220</v>
      </c>
      <c r="I53" s="14">
        <v>234</v>
      </c>
      <c r="J53" s="14">
        <v>248</v>
      </c>
      <c r="K53" s="14">
        <v>262</v>
      </c>
      <c r="L53" s="14">
        <v>276</v>
      </c>
      <c r="M53" s="14">
        <v>290</v>
      </c>
    </row>
    <row r="54" spans="2:13" ht="15.75" thickBot="1" x14ac:dyDescent="0.3">
      <c r="B54" s="94" t="s">
        <v>173</v>
      </c>
      <c r="C54" s="91">
        <v>34</v>
      </c>
      <c r="D54" s="91">
        <v>42</v>
      </c>
      <c r="E54" s="91">
        <v>42</v>
      </c>
      <c r="F54" s="91">
        <v>42</v>
      </c>
      <c r="G54" s="91">
        <v>42</v>
      </c>
      <c r="H54" s="91">
        <v>42</v>
      </c>
      <c r="I54" s="91">
        <v>42</v>
      </c>
      <c r="J54" s="91">
        <v>42</v>
      </c>
      <c r="K54" s="91">
        <v>42</v>
      </c>
      <c r="L54" s="91">
        <v>42</v>
      </c>
      <c r="M54" s="91">
        <v>42</v>
      </c>
    </row>
    <row r="55" spans="2:13" ht="15.75" thickTop="1" x14ac:dyDescent="0.25">
      <c r="B55" s="129" t="s">
        <v>174</v>
      </c>
      <c r="C55" s="130">
        <f>SUM(C46:C54)</f>
        <v>4237.8</v>
      </c>
      <c r="D55" s="130">
        <f t="shared" ref="D55:M55" si="0">SUM(D46:D54)</f>
        <v>4263.8</v>
      </c>
      <c r="E55" s="130">
        <f t="shared" si="0"/>
        <v>4281.8</v>
      </c>
      <c r="F55" s="130">
        <f t="shared" si="0"/>
        <v>4240</v>
      </c>
      <c r="G55" s="130">
        <f t="shared" si="0"/>
        <v>4258</v>
      </c>
      <c r="H55" s="130">
        <f t="shared" si="0"/>
        <v>4272</v>
      </c>
      <c r="I55" s="130">
        <f t="shared" si="0"/>
        <v>4286</v>
      </c>
      <c r="J55" s="130">
        <f t="shared" si="0"/>
        <v>4181.5</v>
      </c>
      <c r="K55" s="130">
        <f t="shared" si="0"/>
        <v>3829.8999999999996</v>
      </c>
      <c r="L55" s="130">
        <f t="shared" si="0"/>
        <v>3544.2</v>
      </c>
      <c r="M55" s="130">
        <f t="shared" si="0"/>
        <v>3351.6000000000004</v>
      </c>
    </row>
    <row r="56" spans="2:13" x14ac:dyDescent="0.25">
      <c r="B56" s="131"/>
      <c r="C56" s="132"/>
      <c r="D56" s="132"/>
      <c r="E56" s="132"/>
      <c r="F56" s="132"/>
      <c r="G56" s="132"/>
      <c r="H56" s="132"/>
      <c r="I56" s="132"/>
      <c r="J56" s="132"/>
      <c r="K56" s="132"/>
      <c r="L56" s="132"/>
      <c r="M56" s="132"/>
    </row>
    <row r="57" spans="2:13" x14ac:dyDescent="0.25">
      <c r="B57" s="131" t="s">
        <v>175</v>
      </c>
    </row>
    <row r="58" spans="2:13" x14ac:dyDescent="0.25">
      <c r="B58" s="50" t="s">
        <v>159</v>
      </c>
      <c r="C58" s="14">
        <v>46.65</v>
      </c>
      <c r="D58" s="14">
        <v>55.129999999999995</v>
      </c>
      <c r="E58" s="14">
        <v>61.389999999999993</v>
      </c>
      <c r="F58" s="14">
        <v>68.19</v>
      </c>
      <c r="G58" s="14">
        <v>75.63</v>
      </c>
      <c r="H58" s="14">
        <v>84.22999999999999</v>
      </c>
      <c r="I58" s="14">
        <v>91.469999999999985</v>
      </c>
      <c r="J58" s="14">
        <v>98.70999999999998</v>
      </c>
      <c r="K58" s="14">
        <v>105.94999999999997</v>
      </c>
      <c r="L58" s="14">
        <v>113.18999999999997</v>
      </c>
      <c r="M58" s="14">
        <v>120.42999999999996</v>
      </c>
    </row>
    <row r="59" spans="2:13" x14ac:dyDescent="0.25">
      <c r="B59" s="50" t="s">
        <v>176</v>
      </c>
      <c r="C59" s="14">
        <v>37</v>
      </c>
      <c r="D59" s="14">
        <v>73</v>
      </c>
      <c r="E59" s="14">
        <v>108</v>
      </c>
      <c r="F59" s="14">
        <v>142</v>
      </c>
      <c r="G59" s="14">
        <v>174</v>
      </c>
      <c r="H59" s="14">
        <v>205</v>
      </c>
      <c r="I59" s="14">
        <v>236</v>
      </c>
      <c r="J59" s="14">
        <v>267</v>
      </c>
      <c r="K59" s="14">
        <v>298</v>
      </c>
      <c r="L59" s="14">
        <v>329</v>
      </c>
      <c r="M59" s="14">
        <v>360</v>
      </c>
    </row>
    <row r="60" spans="2:13" x14ac:dyDescent="0.25">
      <c r="B60" s="133"/>
      <c r="C60" s="51"/>
      <c r="D60" s="51"/>
      <c r="E60" s="51"/>
      <c r="F60" s="51"/>
      <c r="G60" s="51"/>
      <c r="H60" s="51"/>
      <c r="I60" s="51"/>
      <c r="J60" s="51"/>
      <c r="K60" s="51"/>
      <c r="L60" s="51"/>
      <c r="M60" s="51"/>
    </row>
    <row r="61" spans="2:13" x14ac:dyDescent="0.25">
      <c r="B61" s="133"/>
      <c r="C61" s="51"/>
      <c r="D61" s="51"/>
      <c r="E61" s="51"/>
      <c r="F61" s="51"/>
      <c r="G61" s="51"/>
      <c r="H61" s="51"/>
      <c r="I61" s="51"/>
      <c r="J61" s="51"/>
      <c r="K61" s="51"/>
      <c r="L61" s="51"/>
      <c r="M61" s="51">
        <f>SUM(M24:M40,M46:M52)</f>
        <v>5392.4699999999993</v>
      </c>
    </row>
  </sheetData>
  <pageMargins left="0.7" right="0.7" top="0.75" bottom="0.75" header="0.3" footer="0.3"/>
  <legacy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74AF80-08F5-45C3-8CC3-7A6C263D22C2}">
  <sheetPr>
    <tabColor theme="5"/>
  </sheetPr>
  <dimension ref="A1:N62"/>
  <sheetViews>
    <sheetView zoomScale="90" zoomScaleNormal="90" workbookViewId="0">
      <selection activeCell="D1" sqref="D1"/>
    </sheetView>
  </sheetViews>
  <sheetFormatPr defaultRowHeight="15" x14ac:dyDescent="0.25"/>
  <cols>
    <col min="1" max="1" width="3.85546875" customWidth="1"/>
    <col min="2" max="2" width="64.5703125" customWidth="1"/>
    <col min="3" max="13" width="13.28515625" customWidth="1"/>
  </cols>
  <sheetData>
    <row r="1" spans="1:4" x14ac:dyDescent="0.25">
      <c r="D1" s="109"/>
    </row>
    <row r="2" spans="1:4" x14ac:dyDescent="0.25">
      <c r="B2" s="1" t="s">
        <v>126</v>
      </c>
    </row>
    <row r="3" spans="1:4" x14ac:dyDescent="0.25">
      <c r="B3" s="1" t="s">
        <v>187</v>
      </c>
    </row>
    <row r="4" spans="1:4" x14ac:dyDescent="0.25">
      <c r="B4" s="1"/>
    </row>
    <row r="5" spans="1:4" x14ac:dyDescent="0.25">
      <c r="B5" s="1" t="s">
        <v>183</v>
      </c>
    </row>
    <row r="6" spans="1:4" x14ac:dyDescent="0.25">
      <c r="A6" t="s">
        <v>129</v>
      </c>
      <c r="B6" t="s">
        <v>188</v>
      </c>
    </row>
    <row r="7" spans="1:4" x14ac:dyDescent="0.25">
      <c r="A7" t="s">
        <v>131</v>
      </c>
    </row>
    <row r="8" spans="1:4" x14ac:dyDescent="0.25">
      <c r="A8" t="s">
        <v>133</v>
      </c>
      <c r="B8" s="1"/>
    </row>
    <row r="11" spans="1:4" x14ac:dyDescent="0.25">
      <c r="B11" s="1" t="s">
        <v>128</v>
      </c>
    </row>
    <row r="12" spans="1:4" x14ac:dyDescent="0.25">
      <c r="A12" t="s">
        <v>129</v>
      </c>
      <c r="B12" s="87" t="s">
        <v>189</v>
      </c>
    </row>
    <row r="13" spans="1:4" x14ac:dyDescent="0.25">
      <c r="A13" t="s">
        <v>131</v>
      </c>
      <c r="B13" s="87" t="s">
        <v>190</v>
      </c>
    </row>
    <row r="14" spans="1:4" x14ac:dyDescent="0.25">
      <c r="A14" t="s">
        <v>133</v>
      </c>
      <c r="B14" s="88" t="s">
        <v>191</v>
      </c>
    </row>
    <row r="15" spans="1:4" x14ac:dyDescent="0.25">
      <c r="A15" t="s">
        <v>135</v>
      </c>
      <c r="B15" s="96" t="s">
        <v>192</v>
      </c>
    </row>
    <row r="16" spans="1:4" x14ac:dyDescent="0.25">
      <c r="A16" t="s">
        <v>137</v>
      </c>
      <c r="B16" s="87" t="s">
        <v>193</v>
      </c>
    </row>
    <row r="17" spans="1:13" x14ac:dyDescent="0.25">
      <c r="A17" t="s">
        <v>139</v>
      </c>
      <c r="B17" s="87"/>
    </row>
    <row r="18" spans="1:13" x14ac:dyDescent="0.25">
      <c r="A18" t="s">
        <v>141</v>
      </c>
      <c r="B18" s="87"/>
    </row>
    <row r="19" spans="1:13" x14ac:dyDescent="0.25">
      <c r="A19" t="s">
        <v>143</v>
      </c>
      <c r="B19" s="87"/>
    </row>
    <row r="21" spans="1:13" x14ac:dyDescent="0.25">
      <c r="C21" t="s">
        <v>144</v>
      </c>
    </row>
    <row r="22" spans="1:13" x14ac:dyDescent="0.25">
      <c r="B22" s="1"/>
      <c r="C22" s="89">
        <v>2025</v>
      </c>
      <c r="D22" s="28">
        <v>2026</v>
      </c>
      <c r="E22" s="28">
        <v>2027</v>
      </c>
      <c r="F22" s="28">
        <v>2028</v>
      </c>
      <c r="G22" s="28">
        <v>2029</v>
      </c>
      <c r="H22" s="28">
        <v>2030</v>
      </c>
      <c r="I22" s="28">
        <v>2031</v>
      </c>
      <c r="J22" s="28">
        <v>2032</v>
      </c>
      <c r="K22" s="28">
        <v>2033</v>
      </c>
      <c r="L22" s="28">
        <v>2034</v>
      </c>
      <c r="M22" s="28">
        <v>2035</v>
      </c>
    </row>
    <row r="23" spans="1:13" x14ac:dyDescent="0.25">
      <c r="B23" s="10" t="s">
        <v>145</v>
      </c>
      <c r="C23" s="11"/>
      <c r="D23" s="11"/>
      <c r="E23" s="11"/>
      <c r="F23" s="11"/>
      <c r="G23" s="11"/>
      <c r="H23" s="11"/>
      <c r="I23" s="11"/>
      <c r="J23" s="11"/>
      <c r="K23" s="11"/>
      <c r="L23" s="11"/>
      <c r="M23" s="11"/>
    </row>
    <row r="24" spans="1:13" x14ac:dyDescent="0.25">
      <c r="B24" s="49" t="s">
        <v>146</v>
      </c>
      <c r="C24" s="97">
        <v>0</v>
      </c>
      <c r="D24" s="97">
        <v>0</v>
      </c>
      <c r="E24" s="97">
        <v>0</v>
      </c>
      <c r="F24" s="97">
        <v>0</v>
      </c>
      <c r="G24" s="97">
        <v>0</v>
      </c>
      <c r="H24" s="97">
        <v>50</v>
      </c>
      <c r="I24" s="97">
        <v>50</v>
      </c>
      <c r="J24" s="97">
        <v>50</v>
      </c>
      <c r="K24" s="97">
        <v>50</v>
      </c>
      <c r="L24" s="97">
        <v>500</v>
      </c>
      <c r="M24" s="97">
        <v>1000</v>
      </c>
    </row>
    <row r="25" spans="1:13" x14ac:dyDescent="0.25">
      <c r="B25" s="49" t="s">
        <v>147</v>
      </c>
      <c r="C25" s="97">
        <v>0</v>
      </c>
      <c r="D25" s="97">
        <v>500</v>
      </c>
      <c r="E25" s="97">
        <v>500</v>
      </c>
      <c r="F25" s="97">
        <v>600</v>
      </c>
      <c r="G25" s="97">
        <v>600</v>
      </c>
      <c r="H25" s="97">
        <v>1050</v>
      </c>
      <c r="I25" s="97">
        <v>1050</v>
      </c>
      <c r="J25" s="97">
        <v>1150</v>
      </c>
      <c r="K25" s="97">
        <v>1150</v>
      </c>
      <c r="L25" s="97">
        <v>1500</v>
      </c>
      <c r="M25" s="97">
        <v>1500</v>
      </c>
    </row>
    <row r="26" spans="1:13" x14ac:dyDescent="0.25">
      <c r="B26" s="49" t="s">
        <v>148</v>
      </c>
      <c r="C26" s="14"/>
      <c r="D26" s="14"/>
      <c r="E26" s="14"/>
      <c r="F26" s="14"/>
      <c r="G26" s="14"/>
      <c r="H26" s="14"/>
      <c r="I26" s="14"/>
      <c r="J26" s="14"/>
      <c r="K26" s="14"/>
      <c r="L26" s="14"/>
      <c r="M26" s="14"/>
    </row>
    <row r="27" spans="1:13" x14ac:dyDescent="0.25">
      <c r="B27" s="49" t="s">
        <v>149</v>
      </c>
      <c r="C27" s="14"/>
      <c r="D27" s="14"/>
      <c r="E27" s="14"/>
      <c r="F27" s="14"/>
      <c r="G27" s="14"/>
      <c r="H27" s="14"/>
      <c r="I27" s="14"/>
      <c r="J27" s="14"/>
      <c r="K27" s="14"/>
      <c r="L27" s="14"/>
      <c r="M27" s="14"/>
    </row>
    <row r="28" spans="1:13" x14ac:dyDescent="0.25">
      <c r="B28" s="49" t="s">
        <v>150</v>
      </c>
      <c r="C28" s="14"/>
      <c r="D28" s="14"/>
      <c r="E28" s="14"/>
      <c r="F28" s="14"/>
      <c r="G28" s="14"/>
      <c r="H28" s="14"/>
      <c r="I28" s="14"/>
      <c r="J28" s="14"/>
      <c r="K28" s="14"/>
      <c r="L28" s="14"/>
      <c r="M28" s="14"/>
    </row>
    <row r="29" spans="1:13" x14ac:dyDescent="0.25">
      <c r="B29" s="49" t="s">
        <v>151</v>
      </c>
      <c r="C29" s="93"/>
      <c r="D29" s="93"/>
      <c r="E29" s="93"/>
      <c r="F29" s="93"/>
      <c r="G29" s="93"/>
      <c r="H29" s="93"/>
      <c r="I29" s="93"/>
      <c r="J29" s="93"/>
      <c r="K29" s="93"/>
      <c r="L29" s="93"/>
      <c r="M29" s="93"/>
    </row>
    <row r="30" spans="1:13" x14ac:dyDescent="0.25">
      <c r="B30" s="49" t="s">
        <v>152</v>
      </c>
      <c r="C30" s="93"/>
      <c r="D30" s="93"/>
      <c r="E30" s="93"/>
      <c r="F30" s="93"/>
      <c r="G30" s="93"/>
      <c r="H30" s="93"/>
      <c r="I30" s="93"/>
      <c r="J30" s="93"/>
      <c r="K30" s="93"/>
      <c r="L30" s="93"/>
      <c r="M30" s="93"/>
    </row>
    <row r="31" spans="1:13" x14ac:dyDescent="0.25">
      <c r="B31" s="49" t="s">
        <v>153</v>
      </c>
      <c r="C31" s="14"/>
      <c r="D31" s="14">
        <v>5</v>
      </c>
      <c r="E31" s="14">
        <v>10</v>
      </c>
      <c r="F31" s="14">
        <v>15</v>
      </c>
      <c r="G31" s="14">
        <v>20</v>
      </c>
      <c r="H31" s="14">
        <v>25</v>
      </c>
      <c r="I31" s="14">
        <v>25</v>
      </c>
      <c r="J31" s="14">
        <v>25</v>
      </c>
      <c r="K31" s="14">
        <v>25</v>
      </c>
      <c r="L31" s="14">
        <v>25</v>
      </c>
      <c r="M31" s="14">
        <v>25</v>
      </c>
    </row>
    <row r="32" spans="1:13" x14ac:dyDescent="0.25">
      <c r="B32" s="49" t="s">
        <v>154</v>
      </c>
      <c r="C32" s="97">
        <v>0</v>
      </c>
      <c r="D32" s="97">
        <v>5</v>
      </c>
      <c r="E32" s="97">
        <v>140</v>
      </c>
      <c r="F32" s="97">
        <v>145</v>
      </c>
      <c r="G32" s="97">
        <v>150</v>
      </c>
      <c r="H32" s="97">
        <v>160</v>
      </c>
      <c r="I32" s="97">
        <v>165</v>
      </c>
      <c r="J32" s="97">
        <v>170</v>
      </c>
      <c r="K32" s="97">
        <v>175</v>
      </c>
      <c r="L32" s="97">
        <v>180</v>
      </c>
      <c r="M32" s="97">
        <f>200+50</f>
        <v>250</v>
      </c>
    </row>
    <row r="33" spans="2:14" x14ac:dyDescent="0.25">
      <c r="B33" s="49" t="s">
        <v>155</v>
      </c>
      <c r="C33" s="97">
        <v>0</v>
      </c>
      <c r="D33" s="97">
        <v>5</v>
      </c>
      <c r="E33" s="97">
        <v>10</v>
      </c>
      <c r="F33" s="97">
        <v>15</v>
      </c>
      <c r="G33" s="97">
        <v>20</v>
      </c>
      <c r="H33" s="97">
        <v>240</v>
      </c>
      <c r="I33" s="97">
        <v>245</v>
      </c>
      <c r="J33" s="97">
        <v>250</v>
      </c>
      <c r="K33" s="97">
        <v>255</v>
      </c>
      <c r="L33" s="97">
        <v>260</v>
      </c>
      <c r="M33" s="97">
        <f>300+50</f>
        <v>350</v>
      </c>
    </row>
    <row r="34" spans="2:14" x14ac:dyDescent="0.25">
      <c r="B34" s="49" t="s">
        <v>156</v>
      </c>
      <c r="C34" s="97">
        <v>0</v>
      </c>
      <c r="D34" s="97"/>
      <c r="E34" s="97"/>
      <c r="F34" s="97"/>
      <c r="G34" s="97"/>
      <c r="H34" s="97"/>
      <c r="I34" s="97"/>
      <c r="J34" s="97"/>
      <c r="K34" s="97"/>
      <c r="L34" s="97"/>
      <c r="M34" s="97"/>
    </row>
    <row r="35" spans="2:14" x14ac:dyDescent="0.25">
      <c r="B35" s="90" t="s">
        <v>157</v>
      </c>
      <c r="C35" s="97"/>
      <c r="D35" s="97"/>
      <c r="E35" s="97"/>
      <c r="F35" s="97"/>
      <c r="G35" s="97"/>
      <c r="H35" s="97"/>
      <c r="I35" s="97"/>
      <c r="J35" s="97"/>
      <c r="K35" s="97"/>
      <c r="L35" s="97"/>
      <c r="M35" s="97"/>
    </row>
    <row r="36" spans="2:14" x14ac:dyDescent="0.25">
      <c r="B36" s="125" t="s">
        <v>158</v>
      </c>
      <c r="C36" s="97"/>
      <c r="D36" s="97"/>
      <c r="E36" s="97"/>
      <c r="F36" s="97"/>
      <c r="G36" s="97"/>
      <c r="H36" s="97"/>
      <c r="I36" s="97"/>
      <c r="J36" s="97"/>
      <c r="K36" s="97"/>
      <c r="L36" s="97"/>
      <c r="M36" s="97"/>
    </row>
    <row r="37" spans="2:14" x14ac:dyDescent="0.25">
      <c r="B37" s="126" t="s">
        <v>159</v>
      </c>
      <c r="C37" s="99">
        <v>14</v>
      </c>
      <c r="D37" s="97">
        <v>18</v>
      </c>
      <c r="E37" s="97">
        <v>24</v>
      </c>
      <c r="F37" s="97">
        <v>31</v>
      </c>
      <c r="G37" s="97">
        <v>41</v>
      </c>
      <c r="H37" s="97">
        <v>56</v>
      </c>
      <c r="I37" s="97">
        <v>70</v>
      </c>
      <c r="J37" s="97">
        <v>91</v>
      </c>
      <c r="K37" s="97">
        <v>119</v>
      </c>
      <c r="L37" s="97">
        <v>156</v>
      </c>
      <c r="M37" s="97">
        <f>180+25</f>
        <v>205</v>
      </c>
      <c r="N37" s="74"/>
    </row>
    <row r="38" spans="2:14" x14ac:dyDescent="0.25">
      <c r="B38" s="126" t="s">
        <v>160</v>
      </c>
      <c r="C38" s="135">
        <v>15</v>
      </c>
      <c r="D38" s="136">
        <v>30</v>
      </c>
      <c r="E38" s="136">
        <v>45</v>
      </c>
      <c r="F38" s="136">
        <v>60</v>
      </c>
      <c r="G38" s="136">
        <v>75</v>
      </c>
      <c r="H38" s="136">
        <v>90</v>
      </c>
      <c r="I38" s="136">
        <v>105</v>
      </c>
      <c r="J38" s="136">
        <v>120</v>
      </c>
      <c r="K38" s="136">
        <v>135</v>
      </c>
      <c r="L38" s="136">
        <v>150</v>
      </c>
      <c r="M38" s="136">
        <v>180</v>
      </c>
    </row>
    <row r="39" spans="2:14" x14ac:dyDescent="0.25">
      <c r="B39" s="126" t="s">
        <v>161</v>
      </c>
      <c r="C39" s="135">
        <v>16</v>
      </c>
      <c r="D39" s="135">
        <v>30</v>
      </c>
      <c r="E39" s="135">
        <v>50</v>
      </c>
      <c r="F39" s="135">
        <v>84</v>
      </c>
      <c r="G39" s="135">
        <v>118</v>
      </c>
      <c r="H39" s="135">
        <v>153</v>
      </c>
      <c r="I39" s="135">
        <v>190</v>
      </c>
      <c r="J39" s="135">
        <v>223</v>
      </c>
      <c r="K39" s="135">
        <f>263+75</f>
        <v>338</v>
      </c>
      <c r="L39" s="135">
        <f>305+130</f>
        <v>435</v>
      </c>
      <c r="M39" s="135">
        <f>350+260</f>
        <v>610</v>
      </c>
      <c r="N39" s="74"/>
    </row>
    <row r="40" spans="2:14" x14ac:dyDescent="0.25">
      <c r="B40" s="138" t="s">
        <v>162</v>
      </c>
      <c r="C40" s="139">
        <v>0</v>
      </c>
      <c r="D40" s="139">
        <v>0</v>
      </c>
      <c r="E40" s="139">
        <v>0</v>
      </c>
      <c r="F40" s="139">
        <v>0</v>
      </c>
      <c r="G40" s="139">
        <v>3</v>
      </c>
      <c r="H40" s="139">
        <v>5</v>
      </c>
      <c r="I40" s="139">
        <v>9</v>
      </c>
      <c r="J40" s="139">
        <v>12</v>
      </c>
      <c r="K40" s="139">
        <v>14</v>
      </c>
      <c r="L40" s="139">
        <v>16</v>
      </c>
      <c r="M40" s="139">
        <v>18</v>
      </c>
    </row>
    <row r="41" spans="2:14" x14ac:dyDescent="0.25">
      <c r="B41" s="137" t="s">
        <v>186</v>
      </c>
      <c r="C41" s="99"/>
      <c r="D41" s="99"/>
      <c r="E41" s="99"/>
      <c r="F41" s="99"/>
      <c r="G41" s="99"/>
      <c r="H41" s="99"/>
      <c r="I41" s="99">
        <v>250</v>
      </c>
      <c r="J41" s="99">
        <v>250</v>
      </c>
      <c r="K41" s="99">
        <v>250</v>
      </c>
      <c r="L41" s="99">
        <v>250</v>
      </c>
      <c r="M41" s="99">
        <v>250</v>
      </c>
    </row>
    <row r="43" spans="2:14" x14ac:dyDescent="0.25">
      <c r="C43" t="s">
        <v>163</v>
      </c>
    </row>
    <row r="44" spans="2:14" x14ac:dyDescent="0.25">
      <c r="C44" s="28">
        <v>2025</v>
      </c>
      <c r="D44" s="28">
        <v>2026</v>
      </c>
      <c r="E44" s="28">
        <v>2027</v>
      </c>
      <c r="F44" s="28">
        <v>2028</v>
      </c>
      <c r="G44" s="28">
        <v>2029</v>
      </c>
      <c r="H44" s="28">
        <v>2030</v>
      </c>
      <c r="I44" s="28">
        <v>2031</v>
      </c>
      <c r="J44" s="28">
        <v>2032</v>
      </c>
      <c r="K44" s="28">
        <v>2033</v>
      </c>
      <c r="L44" s="28">
        <v>2034</v>
      </c>
      <c r="M44" s="28">
        <v>2035</v>
      </c>
    </row>
    <row r="45" spans="2:14" x14ac:dyDescent="0.25">
      <c r="B45" s="10" t="s">
        <v>164</v>
      </c>
      <c r="C45" s="11"/>
      <c r="D45" s="11"/>
      <c r="E45" s="11"/>
      <c r="F45" s="11"/>
      <c r="G45" s="11"/>
      <c r="H45" s="11"/>
      <c r="I45" s="11"/>
      <c r="J45" s="11"/>
      <c r="K45" s="11"/>
      <c r="L45" s="11"/>
      <c r="M45" s="11"/>
    </row>
    <row r="46" spans="2:14" x14ac:dyDescent="0.25">
      <c r="B46" s="92" t="s">
        <v>165</v>
      </c>
      <c r="C46" s="14">
        <v>200</v>
      </c>
      <c r="D46" s="14">
        <v>200</v>
      </c>
      <c r="E46" s="14">
        <v>200</v>
      </c>
      <c r="F46" s="14">
        <v>200</v>
      </c>
      <c r="G46" s="14">
        <v>200</v>
      </c>
      <c r="H46" s="14">
        <v>200</v>
      </c>
      <c r="I46" s="14">
        <v>200</v>
      </c>
      <c r="J46" s="14">
        <v>200</v>
      </c>
      <c r="K46" s="14">
        <v>200</v>
      </c>
      <c r="L46" s="14">
        <v>200</v>
      </c>
      <c r="M46" s="14"/>
    </row>
    <row r="47" spans="2:14" x14ac:dyDescent="0.25">
      <c r="B47" s="92" t="s">
        <v>166</v>
      </c>
      <c r="C47" s="14">
        <v>595</v>
      </c>
      <c r="D47" s="14">
        <v>595</v>
      </c>
      <c r="E47" s="14">
        <v>595</v>
      </c>
      <c r="F47" s="14">
        <v>595</v>
      </c>
      <c r="G47" s="14">
        <v>595</v>
      </c>
      <c r="H47" s="14">
        <v>595</v>
      </c>
      <c r="I47" s="14">
        <v>595</v>
      </c>
      <c r="J47" s="14">
        <v>595</v>
      </c>
      <c r="K47" s="14">
        <v>595</v>
      </c>
      <c r="L47" s="14">
        <v>595</v>
      </c>
      <c r="M47" s="14"/>
    </row>
    <row r="48" spans="2:14" x14ac:dyDescent="0.25">
      <c r="B48" s="92" t="s">
        <v>167</v>
      </c>
      <c r="C48" s="14">
        <v>0</v>
      </c>
      <c r="D48" s="14">
        <v>0</v>
      </c>
      <c r="E48" s="14">
        <v>0</v>
      </c>
      <c r="F48" s="14">
        <v>0</v>
      </c>
      <c r="G48" s="14">
        <v>0</v>
      </c>
      <c r="H48" s="14">
        <v>0</v>
      </c>
      <c r="I48" s="14">
        <v>0</v>
      </c>
      <c r="J48" s="14">
        <v>0</v>
      </c>
      <c r="K48" s="14">
        <v>0</v>
      </c>
      <c r="L48" s="14">
        <v>0</v>
      </c>
      <c r="M48" s="14">
        <v>0</v>
      </c>
    </row>
    <row r="49" spans="2:13" x14ac:dyDescent="0.25">
      <c r="B49" s="92" t="s">
        <v>168</v>
      </c>
      <c r="C49" s="14">
        <v>430</v>
      </c>
      <c r="D49" s="14">
        <v>430</v>
      </c>
      <c r="E49" s="14">
        <v>430</v>
      </c>
      <c r="F49" s="14">
        <v>430</v>
      </c>
      <c r="G49" s="14">
        <v>430</v>
      </c>
      <c r="H49" s="14">
        <v>430</v>
      </c>
      <c r="I49" s="14">
        <v>430</v>
      </c>
      <c r="J49" s="14">
        <v>430</v>
      </c>
      <c r="K49" s="14">
        <v>430</v>
      </c>
      <c r="L49" s="14">
        <v>430</v>
      </c>
      <c r="M49" s="14">
        <v>430</v>
      </c>
    </row>
    <row r="50" spans="2:13" x14ac:dyDescent="0.25">
      <c r="B50" s="92" t="s">
        <v>169</v>
      </c>
      <c r="C50" s="14">
        <v>105</v>
      </c>
      <c r="D50" s="14">
        <v>105</v>
      </c>
      <c r="E50" s="14">
        <v>105</v>
      </c>
      <c r="F50" s="14">
        <v>105</v>
      </c>
      <c r="G50" s="14">
        <v>105</v>
      </c>
      <c r="H50" s="14">
        <v>105</v>
      </c>
      <c r="I50" s="14">
        <v>105</v>
      </c>
      <c r="J50" s="14">
        <v>105</v>
      </c>
      <c r="K50" s="14">
        <v>105</v>
      </c>
      <c r="L50" s="14">
        <v>105</v>
      </c>
      <c r="M50" s="14">
        <v>105</v>
      </c>
    </row>
    <row r="51" spans="2:13" x14ac:dyDescent="0.25">
      <c r="B51" s="92" t="s">
        <v>170</v>
      </c>
      <c r="C51" s="93">
        <v>1795.6</v>
      </c>
      <c r="D51" s="93">
        <v>1795.6</v>
      </c>
      <c r="E51" s="93">
        <v>1795.6</v>
      </c>
      <c r="F51" s="93">
        <v>1735.8</v>
      </c>
      <c r="G51" s="93">
        <v>1735.8</v>
      </c>
      <c r="H51" s="93">
        <v>1735.8</v>
      </c>
      <c r="I51" s="93">
        <v>1735.8</v>
      </c>
      <c r="J51" s="93">
        <v>1735.8</v>
      </c>
      <c r="K51" s="93">
        <v>1370.1999999999998</v>
      </c>
      <c r="L51" s="93">
        <v>1070.5</v>
      </c>
      <c r="M51" s="93">
        <v>863.9</v>
      </c>
    </row>
    <row r="52" spans="2:13" x14ac:dyDescent="0.25">
      <c r="B52" s="92" t="s">
        <v>171</v>
      </c>
      <c r="C52" s="93">
        <v>944.2</v>
      </c>
      <c r="D52" s="93">
        <v>944.2</v>
      </c>
      <c r="E52" s="93">
        <v>944.2</v>
      </c>
      <c r="F52" s="93">
        <v>944.2</v>
      </c>
      <c r="G52" s="93">
        <v>944.2</v>
      </c>
      <c r="H52" s="93">
        <v>944.2</v>
      </c>
      <c r="I52" s="93">
        <v>944.2</v>
      </c>
      <c r="J52" s="93">
        <v>825.7</v>
      </c>
      <c r="K52" s="93">
        <v>825.7</v>
      </c>
      <c r="L52" s="93">
        <v>825.7</v>
      </c>
      <c r="M52" s="93">
        <v>825.7</v>
      </c>
    </row>
    <row r="53" spans="2:13" x14ac:dyDescent="0.25">
      <c r="B53" s="92" t="s">
        <v>172</v>
      </c>
      <c r="C53" s="14">
        <v>134</v>
      </c>
      <c r="D53" s="14">
        <v>152</v>
      </c>
      <c r="E53" s="14">
        <v>170</v>
      </c>
      <c r="F53" s="14">
        <v>188</v>
      </c>
      <c r="G53" s="14">
        <v>206</v>
      </c>
      <c r="H53" s="14">
        <v>220</v>
      </c>
      <c r="I53" s="14">
        <v>234</v>
      </c>
      <c r="J53" s="14">
        <v>248</v>
      </c>
      <c r="K53" s="14">
        <v>262</v>
      </c>
      <c r="L53" s="14">
        <v>276</v>
      </c>
      <c r="M53" s="14">
        <v>290</v>
      </c>
    </row>
    <row r="54" spans="2:13" ht="15.75" thickBot="1" x14ac:dyDescent="0.3">
      <c r="B54" s="94" t="s">
        <v>173</v>
      </c>
      <c r="C54" s="91">
        <v>34</v>
      </c>
      <c r="D54" s="91">
        <v>42</v>
      </c>
      <c r="E54" s="91">
        <v>42</v>
      </c>
      <c r="F54" s="91">
        <v>42</v>
      </c>
      <c r="G54" s="91">
        <v>42</v>
      </c>
      <c r="H54" s="91">
        <v>42</v>
      </c>
      <c r="I54" s="91">
        <v>42</v>
      </c>
      <c r="J54" s="91">
        <v>42</v>
      </c>
      <c r="K54" s="91">
        <v>42</v>
      </c>
      <c r="L54" s="91">
        <v>42</v>
      </c>
      <c r="M54" s="91">
        <v>42</v>
      </c>
    </row>
    <row r="55" spans="2:13" ht="15.75" thickTop="1" x14ac:dyDescent="0.25">
      <c r="B55" s="129" t="s">
        <v>174</v>
      </c>
      <c r="C55" s="130">
        <f>SUM(C46:C54)</f>
        <v>4237.8</v>
      </c>
      <c r="D55" s="130">
        <f t="shared" ref="D55:M55" si="0">SUM(D46:D54)</f>
        <v>4263.8</v>
      </c>
      <c r="E55" s="130">
        <f t="shared" si="0"/>
        <v>4281.8</v>
      </c>
      <c r="F55" s="130">
        <f t="shared" si="0"/>
        <v>4240</v>
      </c>
      <c r="G55" s="130">
        <f t="shared" si="0"/>
        <v>4258</v>
      </c>
      <c r="H55" s="130">
        <f t="shared" si="0"/>
        <v>4272</v>
      </c>
      <c r="I55" s="130">
        <f t="shared" si="0"/>
        <v>4286</v>
      </c>
      <c r="J55" s="130">
        <f t="shared" si="0"/>
        <v>4181.5</v>
      </c>
      <c r="K55" s="130">
        <f t="shared" si="0"/>
        <v>3829.8999999999996</v>
      </c>
      <c r="L55" s="130">
        <f t="shared" si="0"/>
        <v>3544.2</v>
      </c>
      <c r="M55" s="130">
        <f t="shared" si="0"/>
        <v>2556.6000000000004</v>
      </c>
    </row>
    <row r="56" spans="2:13" x14ac:dyDescent="0.25">
      <c r="B56" s="131"/>
      <c r="C56" s="132"/>
      <c r="D56" s="132"/>
      <c r="E56" s="132"/>
      <c r="F56" s="132"/>
      <c r="G56" s="132"/>
      <c r="H56" s="132"/>
      <c r="I56" s="132"/>
      <c r="J56" s="132"/>
      <c r="K56" s="132"/>
      <c r="L56" s="132"/>
      <c r="M56" s="132"/>
    </row>
    <row r="57" spans="2:13" x14ac:dyDescent="0.25">
      <c r="B57" s="131" t="s">
        <v>175</v>
      </c>
    </row>
    <row r="58" spans="2:13" x14ac:dyDescent="0.25">
      <c r="B58" s="50" t="s">
        <v>159</v>
      </c>
      <c r="C58" s="14">
        <v>46.65</v>
      </c>
      <c r="D58" s="14">
        <v>55.129999999999995</v>
      </c>
      <c r="E58" s="14">
        <v>61.389999999999993</v>
      </c>
      <c r="F58" s="14">
        <v>68.19</v>
      </c>
      <c r="G58" s="14">
        <v>75.63</v>
      </c>
      <c r="H58" s="14">
        <v>84.22999999999999</v>
      </c>
      <c r="I58" s="14">
        <v>91.469999999999985</v>
      </c>
      <c r="J58" s="14">
        <v>98.70999999999998</v>
      </c>
      <c r="K58" s="14">
        <v>105.94999999999997</v>
      </c>
      <c r="L58" s="14">
        <v>113.18999999999997</v>
      </c>
      <c r="M58" s="14">
        <v>120.42999999999996</v>
      </c>
    </row>
    <row r="59" spans="2:13" x14ac:dyDescent="0.25">
      <c r="B59" s="50" t="s">
        <v>176</v>
      </c>
      <c r="C59" s="14">
        <v>37</v>
      </c>
      <c r="D59" s="14">
        <v>73</v>
      </c>
      <c r="E59" s="14">
        <v>108</v>
      </c>
      <c r="F59" s="14">
        <v>142</v>
      </c>
      <c r="G59" s="14">
        <v>174</v>
      </c>
      <c r="H59" s="14">
        <v>205</v>
      </c>
      <c r="I59" s="14">
        <v>236</v>
      </c>
      <c r="J59" s="14">
        <v>267</v>
      </c>
      <c r="K59" s="14">
        <v>298</v>
      </c>
      <c r="L59" s="14">
        <v>329</v>
      </c>
      <c r="M59" s="14">
        <v>360</v>
      </c>
    </row>
    <row r="60" spans="2:13" x14ac:dyDescent="0.25">
      <c r="B60" s="133"/>
      <c r="C60" s="51"/>
      <c r="D60" s="51"/>
      <c r="E60" s="51"/>
      <c r="F60" s="51"/>
      <c r="G60" s="51"/>
      <c r="H60" s="51"/>
      <c r="I60" s="51"/>
      <c r="J60" s="51"/>
      <c r="K60" s="51"/>
      <c r="L60" s="51"/>
      <c r="M60" s="51"/>
    </row>
    <row r="61" spans="2:13" x14ac:dyDescent="0.25">
      <c r="B61" s="133"/>
      <c r="C61" s="51"/>
      <c r="D61" s="51"/>
      <c r="E61" s="51"/>
      <c r="F61" s="51"/>
      <c r="G61" s="51"/>
      <c r="H61" s="51"/>
      <c r="I61" s="51"/>
      <c r="J61" s="51"/>
      <c r="K61" s="51"/>
      <c r="L61" s="51"/>
      <c r="M61" s="51">
        <f>SUM(M24:M40,M46:M52)</f>
        <v>6362.5999999999995</v>
      </c>
    </row>
    <row r="62" spans="2:13" x14ac:dyDescent="0.25">
      <c r="C62" s="57"/>
      <c r="D62" s="57"/>
      <c r="E62" s="57"/>
      <c r="F62" s="57"/>
      <c r="G62" s="57"/>
      <c r="H62" s="57"/>
      <c r="I62" s="57"/>
      <c r="J62" s="57"/>
      <c r="K62" s="57"/>
      <c r="L62" s="57"/>
      <c r="M62" s="57"/>
    </row>
  </sheetData>
  <pageMargins left="0.7" right="0.7" top="0.75" bottom="0.75" header="0.3" footer="0.3"/>
  <legacyDrawing r:id="rId1"/>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3604B2-0E13-4190-9D4F-474F06431C62}">
  <sheetPr>
    <tabColor theme="5"/>
  </sheetPr>
  <dimension ref="A1:N64"/>
  <sheetViews>
    <sheetView zoomScale="90" zoomScaleNormal="90" workbookViewId="0">
      <selection activeCell="D1" sqref="D1"/>
    </sheetView>
  </sheetViews>
  <sheetFormatPr defaultRowHeight="15" x14ac:dyDescent="0.25"/>
  <cols>
    <col min="1" max="1" width="3.85546875" customWidth="1"/>
    <col min="2" max="2" width="64.5703125" customWidth="1"/>
    <col min="3" max="13" width="13.28515625" customWidth="1"/>
  </cols>
  <sheetData>
    <row r="1" spans="1:4" x14ac:dyDescent="0.25">
      <c r="D1" s="109"/>
    </row>
    <row r="2" spans="1:4" x14ac:dyDescent="0.25">
      <c r="B2" s="1" t="s">
        <v>126</v>
      </c>
    </row>
    <row r="3" spans="1:4" x14ac:dyDescent="0.25">
      <c r="B3" s="1" t="s">
        <v>194</v>
      </c>
    </row>
    <row r="4" spans="1:4" x14ac:dyDescent="0.25">
      <c r="B4" s="1"/>
    </row>
    <row r="5" spans="1:4" x14ac:dyDescent="0.25">
      <c r="B5" s="1" t="s">
        <v>183</v>
      </c>
    </row>
    <row r="6" spans="1:4" x14ac:dyDescent="0.25">
      <c r="A6" t="s">
        <v>129</v>
      </c>
      <c r="B6" t="s">
        <v>188</v>
      </c>
    </row>
    <row r="7" spans="1:4" x14ac:dyDescent="0.25">
      <c r="A7" t="s">
        <v>131</v>
      </c>
      <c r="B7" t="s">
        <v>195</v>
      </c>
    </row>
    <row r="8" spans="1:4" x14ac:dyDescent="0.25">
      <c r="A8" t="s">
        <v>133</v>
      </c>
      <c r="B8" s="1"/>
    </row>
    <row r="11" spans="1:4" x14ac:dyDescent="0.25">
      <c r="B11" s="1" t="s">
        <v>128</v>
      </c>
    </row>
    <row r="12" spans="1:4" x14ac:dyDescent="0.25">
      <c r="A12" t="s">
        <v>129</v>
      </c>
      <c r="B12" s="87" t="s">
        <v>189</v>
      </c>
    </row>
    <row r="13" spans="1:4" x14ac:dyDescent="0.25">
      <c r="A13" t="s">
        <v>131</v>
      </c>
      <c r="B13" s="87" t="s">
        <v>196</v>
      </c>
    </row>
    <row r="14" spans="1:4" x14ac:dyDescent="0.25">
      <c r="A14" t="s">
        <v>133</v>
      </c>
      <c r="B14" t="s">
        <v>197</v>
      </c>
    </row>
    <row r="15" spans="1:4" x14ac:dyDescent="0.25">
      <c r="A15" t="s">
        <v>135</v>
      </c>
      <c r="B15" s="96" t="s">
        <v>198</v>
      </c>
    </row>
    <row r="16" spans="1:4" x14ac:dyDescent="0.25">
      <c r="A16" t="s">
        <v>137</v>
      </c>
      <c r="B16" t="s">
        <v>199</v>
      </c>
    </row>
    <row r="17" spans="1:13" x14ac:dyDescent="0.25">
      <c r="A17" t="s">
        <v>139</v>
      </c>
      <c r="B17" s="87"/>
    </row>
    <row r="18" spans="1:13" x14ac:dyDescent="0.25">
      <c r="A18" t="s">
        <v>141</v>
      </c>
      <c r="B18" s="87"/>
    </row>
    <row r="19" spans="1:13" x14ac:dyDescent="0.25">
      <c r="A19" t="s">
        <v>143</v>
      </c>
      <c r="B19" s="87"/>
    </row>
    <row r="21" spans="1:13" x14ac:dyDescent="0.25">
      <c r="C21" t="s">
        <v>144</v>
      </c>
    </row>
    <row r="22" spans="1:13" x14ac:dyDescent="0.25">
      <c r="B22" s="1"/>
      <c r="C22" s="89">
        <v>2025</v>
      </c>
      <c r="D22" s="28">
        <v>2026</v>
      </c>
      <c r="E22" s="28">
        <v>2027</v>
      </c>
      <c r="F22" s="28">
        <v>2028</v>
      </c>
      <c r="G22" s="28">
        <v>2029</v>
      </c>
      <c r="H22" s="28">
        <v>2030</v>
      </c>
      <c r="I22" s="28">
        <v>2031</v>
      </c>
      <c r="J22" s="28">
        <v>2032</v>
      </c>
      <c r="K22" s="28">
        <v>2033</v>
      </c>
      <c r="L22" s="28">
        <v>2034</v>
      </c>
      <c r="M22" s="28">
        <v>2035</v>
      </c>
    </row>
    <row r="23" spans="1:13" x14ac:dyDescent="0.25">
      <c r="B23" s="10" t="s">
        <v>145</v>
      </c>
      <c r="C23" s="11"/>
      <c r="D23" s="11"/>
      <c r="E23" s="11"/>
      <c r="F23" s="11"/>
      <c r="G23" s="11"/>
      <c r="H23" s="11"/>
      <c r="I23" s="11"/>
      <c r="J23" s="11"/>
      <c r="K23" s="11"/>
      <c r="L23" s="11"/>
      <c r="M23" s="11"/>
    </row>
    <row r="24" spans="1:13" x14ac:dyDescent="0.25">
      <c r="B24" s="49" t="s">
        <v>146</v>
      </c>
      <c r="C24" s="97">
        <v>0</v>
      </c>
      <c r="D24" s="97">
        <v>0</v>
      </c>
      <c r="E24" s="97">
        <v>0</v>
      </c>
      <c r="F24" s="97">
        <v>0</v>
      </c>
      <c r="G24" s="97">
        <v>0</v>
      </c>
      <c r="H24" s="97">
        <v>50</v>
      </c>
      <c r="I24" s="97">
        <v>50</v>
      </c>
      <c r="J24" s="97">
        <v>50</v>
      </c>
      <c r="K24" s="97">
        <v>50</v>
      </c>
      <c r="L24" s="97">
        <v>500</v>
      </c>
      <c r="M24" s="134">
        <v>1000</v>
      </c>
    </row>
    <row r="25" spans="1:13" x14ac:dyDescent="0.25">
      <c r="B25" s="49" t="s">
        <v>147</v>
      </c>
      <c r="C25" s="97">
        <v>0</v>
      </c>
      <c r="D25" s="97">
        <v>500</v>
      </c>
      <c r="E25" s="97">
        <v>500</v>
      </c>
      <c r="F25" s="97">
        <v>600</v>
      </c>
      <c r="G25" s="97">
        <v>600</v>
      </c>
      <c r="H25" s="97">
        <v>1050</v>
      </c>
      <c r="I25" s="97">
        <v>1050</v>
      </c>
      <c r="J25" s="97">
        <v>1150</v>
      </c>
      <c r="K25" s="97">
        <v>1150</v>
      </c>
      <c r="L25" s="97">
        <v>1500</v>
      </c>
      <c r="M25" s="97">
        <v>1500</v>
      </c>
    </row>
    <row r="26" spans="1:13" x14ac:dyDescent="0.25">
      <c r="B26" s="49" t="s">
        <v>148</v>
      </c>
      <c r="C26" s="97"/>
      <c r="D26" s="97"/>
      <c r="E26" s="97"/>
      <c r="F26" s="97"/>
      <c r="G26" s="97"/>
      <c r="H26" s="97"/>
      <c r="I26" s="97"/>
      <c r="J26" s="97"/>
      <c r="K26" s="97"/>
      <c r="L26" s="97"/>
      <c r="M26" s="97"/>
    </row>
    <row r="27" spans="1:13" x14ac:dyDescent="0.25">
      <c r="B27" s="49" t="s">
        <v>149</v>
      </c>
      <c r="C27" s="97"/>
      <c r="D27" s="97"/>
      <c r="E27" s="97"/>
      <c r="F27" s="97"/>
      <c r="G27" s="97"/>
      <c r="H27" s="97"/>
      <c r="I27" s="97"/>
      <c r="J27" s="97"/>
      <c r="K27" s="97"/>
      <c r="L27" s="97"/>
      <c r="M27" s="97"/>
    </row>
    <row r="28" spans="1:13" x14ac:dyDescent="0.25">
      <c r="B28" s="49" t="s">
        <v>150</v>
      </c>
      <c r="C28" s="97"/>
      <c r="D28" s="97"/>
      <c r="E28" s="97"/>
      <c r="F28" s="97"/>
      <c r="G28" s="97"/>
      <c r="H28" s="97"/>
      <c r="I28" s="97"/>
      <c r="J28" s="97"/>
      <c r="K28" s="97"/>
      <c r="L28" s="97"/>
      <c r="M28" s="97"/>
    </row>
    <row r="29" spans="1:13" x14ac:dyDescent="0.25">
      <c r="B29" s="49" t="s">
        <v>151</v>
      </c>
      <c r="C29" s="97"/>
      <c r="D29" s="97"/>
      <c r="E29" s="97"/>
      <c r="F29" s="97"/>
      <c r="G29" s="97"/>
      <c r="H29" s="97"/>
      <c r="I29" s="97"/>
      <c r="J29" s="97"/>
      <c r="K29" s="97"/>
      <c r="L29" s="97"/>
      <c r="M29" s="97"/>
    </row>
    <row r="30" spans="1:13" x14ac:dyDescent="0.25">
      <c r="B30" s="49" t="s">
        <v>152</v>
      </c>
      <c r="C30" s="97"/>
      <c r="D30" s="97"/>
      <c r="E30" s="97"/>
      <c r="F30" s="97"/>
      <c r="G30" s="97"/>
      <c r="H30" s="97"/>
      <c r="I30" s="97"/>
      <c r="J30" s="97"/>
      <c r="K30" s="97"/>
      <c r="L30" s="97"/>
      <c r="M30" s="97"/>
    </row>
    <row r="31" spans="1:13" x14ac:dyDescent="0.25">
      <c r="B31" s="49" t="s">
        <v>153</v>
      </c>
      <c r="C31" s="14"/>
      <c r="D31" s="14">
        <v>5</v>
      </c>
      <c r="E31" s="14">
        <v>10</v>
      </c>
      <c r="F31" s="14">
        <v>15</v>
      </c>
      <c r="G31" s="14">
        <v>20</v>
      </c>
      <c r="H31" s="14">
        <v>25</v>
      </c>
      <c r="I31" s="14">
        <v>25</v>
      </c>
      <c r="J31" s="14">
        <v>25</v>
      </c>
      <c r="K31" s="14">
        <v>25</v>
      </c>
      <c r="L31" s="14">
        <v>25</v>
      </c>
      <c r="M31" s="14">
        <v>25</v>
      </c>
    </row>
    <row r="32" spans="1:13" x14ac:dyDescent="0.25">
      <c r="B32" s="49" t="s">
        <v>154</v>
      </c>
      <c r="C32" s="97">
        <v>0</v>
      </c>
      <c r="D32" s="97">
        <v>5</v>
      </c>
      <c r="E32" s="97">
        <v>140</v>
      </c>
      <c r="F32" s="97">
        <v>145</v>
      </c>
      <c r="G32" s="97">
        <v>150</v>
      </c>
      <c r="H32" s="97">
        <v>160</v>
      </c>
      <c r="I32" s="97">
        <v>165</v>
      </c>
      <c r="J32" s="97">
        <v>170</v>
      </c>
      <c r="K32" s="97">
        <v>175</v>
      </c>
      <c r="L32" s="97">
        <v>180</v>
      </c>
      <c r="M32" s="97">
        <f>200+100</f>
        <v>300</v>
      </c>
    </row>
    <row r="33" spans="2:14" x14ac:dyDescent="0.25">
      <c r="B33" s="49" t="s">
        <v>155</v>
      </c>
      <c r="C33" s="97">
        <v>0</v>
      </c>
      <c r="D33" s="97">
        <v>5</v>
      </c>
      <c r="E33" s="97">
        <v>10</v>
      </c>
      <c r="F33" s="97">
        <v>15</v>
      </c>
      <c r="G33" s="97">
        <v>20</v>
      </c>
      <c r="H33" s="97">
        <v>240</v>
      </c>
      <c r="I33" s="97">
        <v>245</v>
      </c>
      <c r="J33" s="97">
        <v>250</v>
      </c>
      <c r="K33" s="97">
        <v>255</v>
      </c>
      <c r="L33" s="97">
        <v>260</v>
      </c>
      <c r="M33" s="97">
        <f>300+100</f>
        <v>400</v>
      </c>
    </row>
    <row r="34" spans="2:14" x14ac:dyDescent="0.25">
      <c r="B34" s="49" t="s">
        <v>156</v>
      </c>
      <c r="C34" s="97">
        <v>0</v>
      </c>
      <c r="D34" s="97"/>
      <c r="E34" s="97"/>
      <c r="F34" s="97"/>
      <c r="G34" s="97"/>
      <c r="H34" s="97"/>
      <c r="I34" s="97"/>
      <c r="J34" s="97"/>
      <c r="K34" s="97"/>
      <c r="L34" s="97"/>
      <c r="M34" s="97"/>
    </row>
    <row r="35" spans="2:14" x14ac:dyDescent="0.25">
      <c r="B35" s="90" t="s">
        <v>157</v>
      </c>
      <c r="C35" s="97"/>
      <c r="D35" s="97"/>
      <c r="E35" s="97"/>
      <c r="F35" s="97"/>
      <c r="G35" s="97"/>
      <c r="H35" s="97"/>
      <c r="I35" s="97"/>
      <c r="J35" s="97"/>
      <c r="K35" s="97"/>
      <c r="L35" s="97"/>
      <c r="M35" s="97"/>
    </row>
    <row r="36" spans="2:14" x14ac:dyDescent="0.25">
      <c r="B36" s="125" t="s">
        <v>158</v>
      </c>
      <c r="C36" s="97"/>
      <c r="D36" s="97"/>
      <c r="E36" s="97"/>
      <c r="F36" s="97"/>
      <c r="G36" s="97"/>
      <c r="H36" s="97"/>
      <c r="I36" s="97"/>
      <c r="J36" s="97"/>
      <c r="K36" s="97"/>
      <c r="L36" s="97"/>
      <c r="M36" s="97"/>
    </row>
    <row r="37" spans="2:14" x14ac:dyDescent="0.25">
      <c r="B37" s="126" t="s">
        <v>159</v>
      </c>
      <c r="C37" s="99">
        <v>14</v>
      </c>
      <c r="D37" s="97">
        <v>18</v>
      </c>
      <c r="E37" s="97">
        <v>24</v>
      </c>
      <c r="F37" s="97">
        <v>31</v>
      </c>
      <c r="G37" s="97">
        <v>41</v>
      </c>
      <c r="H37" s="97">
        <v>56</v>
      </c>
      <c r="I37" s="97">
        <v>70</v>
      </c>
      <c r="J37" s="97">
        <v>91</v>
      </c>
      <c r="K37" s="97">
        <v>119</v>
      </c>
      <c r="L37" s="97">
        <v>156</v>
      </c>
      <c r="M37" s="97">
        <f>180+100</f>
        <v>280</v>
      </c>
      <c r="N37" s="74"/>
    </row>
    <row r="38" spans="2:14" x14ac:dyDescent="0.25">
      <c r="B38" s="126" t="s">
        <v>160</v>
      </c>
      <c r="C38" s="135">
        <v>15</v>
      </c>
      <c r="D38" s="136">
        <v>30</v>
      </c>
      <c r="E38" s="136">
        <v>45</v>
      </c>
      <c r="F38" s="136">
        <v>60</v>
      </c>
      <c r="G38" s="136">
        <v>75</v>
      </c>
      <c r="H38" s="136">
        <v>90</v>
      </c>
      <c r="I38" s="136">
        <v>105</v>
      </c>
      <c r="J38" s="136">
        <v>120</v>
      </c>
      <c r="K38" s="136">
        <v>135</v>
      </c>
      <c r="L38" s="136">
        <v>150</v>
      </c>
      <c r="M38" s="136">
        <v>180</v>
      </c>
    </row>
    <row r="39" spans="2:14" x14ac:dyDescent="0.25">
      <c r="B39" s="126" t="s">
        <v>161</v>
      </c>
      <c r="C39" s="135">
        <v>16</v>
      </c>
      <c r="D39" s="135">
        <v>30</v>
      </c>
      <c r="E39" s="135">
        <v>50</v>
      </c>
      <c r="F39" s="135">
        <v>84</v>
      </c>
      <c r="G39" s="135">
        <v>118</v>
      </c>
      <c r="H39" s="135">
        <v>153</v>
      </c>
      <c r="I39" s="135">
        <v>190</v>
      </c>
      <c r="J39" s="135">
        <v>223</v>
      </c>
      <c r="K39" s="135">
        <v>263</v>
      </c>
      <c r="L39" s="135">
        <f>305+80</f>
        <v>385</v>
      </c>
      <c r="M39" s="135">
        <f>350+160</f>
        <v>510</v>
      </c>
      <c r="N39" s="74"/>
    </row>
    <row r="40" spans="2:14" x14ac:dyDescent="0.25">
      <c r="B40" s="127" t="s">
        <v>162</v>
      </c>
      <c r="C40" s="97">
        <v>0</v>
      </c>
      <c r="D40" s="97">
        <v>0</v>
      </c>
      <c r="E40" s="97">
        <v>0</v>
      </c>
      <c r="F40" s="97">
        <v>0</v>
      </c>
      <c r="G40" s="97">
        <v>3</v>
      </c>
      <c r="H40" s="97">
        <v>5</v>
      </c>
      <c r="I40" s="97">
        <v>9</v>
      </c>
      <c r="J40" s="97">
        <v>12</v>
      </c>
      <c r="K40" s="97">
        <v>14</v>
      </c>
      <c r="L40" s="97">
        <v>16</v>
      </c>
      <c r="M40" s="97">
        <v>18</v>
      </c>
    </row>
    <row r="41" spans="2:14" x14ac:dyDescent="0.25">
      <c r="B41" s="137" t="s">
        <v>186</v>
      </c>
      <c r="C41" s="99"/>
      <c r="D41" s="99"/>
      <c r="E41" s="99"/>
      <c r="F41" s="99"/>
      <c r="G41" s="99"/>
      <c r="H41" s="99"/>
      <c r="I41" s="99">
        <v>250</v>
      </c>
      <c r="J41" s="99">
        <v>250</v>
      </c>
      <c r="K41" s="99">
        <v>250</v>
      </c>
      <c r="L41" s="99">
        <v>250</v>
      </c>
      <c r="M41" s="99">
        <v>250</v>
      </c>
    </row>
    <row r="43" spans="2:14" x14ac:dyDescent="0.25">
      <c r="C43" t="s">
        <v>163</v>
      </c>
    </row>
    <row r="44" spans="2:14" x14ac:dyDescent="0.25">
      <c r="C44" s="28">
        <v>2025</v>
      </c>
      <c r="D44" s="28">
        <v>2026</v>
      </c>
      <c r="E44" s="28">
        <v>2027</v>
      </c>
      <c r="F44" s="28">
        <v>2028</v>
      </c>
      <c r="G44" s="28">
        <v>2029</v>
      </c>
      <c r="H44" s="28">
        <v>2030</v>
      </c>
      <c r="I44" s="28">
        <v>2031</v>
      </c>
      <c r="J44" s="28">
        <v>2032</v>
      </c>
      <c r="K44" s="28">
        <v>2033</v>
      </c>
      <c r="L44" s="28">
        <v>2034</v>
      </c>
      <c r="M44" s="28">
        <v>2035</v>
      </c>
    </row>
    <row r="45" spans="2:14" x14ac:dyDescent="0.25">
      <c r="B45" s="10" t="s">
        <v>164</v>
      </c>
      <c r="C45" s="11"/>
      <c r="D45" s="11"/>
      <c r="E45" s="11"/>
      <c r="F45" s="11"/>
      <c r="G45" s="11"/>
      <c r="H45" s="11"/>
      <c r="I45" s="11"/>
      <c r="J45" s="11"/>
      <c r="K45" s="11"/>
      <c r="L45" s="11"/>
      <c r="M45" s="11"/>
    </row>
    <row r="46" spans="2:14" x14ac:dyDescent="0.25">
      <c r="B46" s="92" t="s">
        <v>165</v>
      </c>
      <c r="C46" s="14">
        <v>200</v>
      </c>
      <c r="D46" s="14">
        <v>200</v>
      </c>
      <c r="E46" s="14">
        <v>200</v>
      </c>
      <c r="F46" s="14">
        <v>200</v>
      </c>
      <c r="G46" s="14">
        <v>200</v>
      </c>
      <c r="H46" s="14">
        <v>200</v>
      </c>
      <c r="I46" s="14">
        <v>200</v>
      </c>
      <c r="J46" s="14">
        <v>200</v>
      </c>
      <c r="K46" s="14">
        <v>200</v>
      </c>
      <c r="L46" s="14">
        <v>200</v>
      </c>
      <c r="M46" s="14">
        <v>200</v>
      </c>
    </row>
    <row r="47" spans="2:14" x14ac:dyDescent="0.25">
      <c r="B47" s="92" t="s">
        <v>166</v>
      </c>
      <c r="C47" s="14">
        <v>595</v>
      </c>
      <c r="D47" s="14">
        <v>595</v>
      </c>
      <c r="E47" s="14">
        <v>595</v>
      </c>
      <c r="F47" s="14">
        <v>595</v>
      </c>
      <c r="G47" s="14">
        <v>595</v>
      </c>
      <c r="H47" s="14">
        <v>595</v>
      </c>
      <c r="I47" s="14">
        <v>595</v>
      </c>
      <c r="J47" s="14">
        <v>595</v>
      </c>
      <c r="K47" s="14">
        <v>595</v>
      </c>
      <c r="L47" s="14">
        <v>595</v>
      </c>
      <c r="M47" s="14">
        <v>595</v>
      </c>
    </row>
    <row r="48" spans="2:14" x14ac:dyDescent="0.25">
      <c r="B48" s="92" t="s">
        <v>167</v>
      </c>
      <c r="C48" s="14">
        <v>0</v>
      </c>
      <c r="D48" s="14">
        <v>0</v>
      </c>
      <c r="E48" s="14">
        <v>0</v>
      </c>
      <c r="F48" s="14">
        <v>0</v>
      </c>
      <c r="G48" s="14">
        <v>0</v>
      </c>
      <c r="H48" s="14">
        <v>0</v>
      </c>
      <c r="I48" s="14">
        <v>0</v>
      </c>
      <c r="J48" s="14">
        <v>0</v>
      </c>
      <c r="K48" s="14">
        <v>0</v>
      </c>
      <c r="L48" s="14">
        <v>0</v>
      </c>
      <c r="M48" s="14">
        <v>0</v>
      </c>
    </row>
    <row r="49" spans="2:13" x14ac:dyDescent="0.25">
      <c r="B49" s="92" t="s">
        <v>168</v>
      </c>
      <c r="C49" s="14">
        <v>430</v>
      </c>
      <c r="D49" s="14">
        <v>430</v>
      </c>
      <c r="E49" s="14">
        <v>430</v>
      </c>
      <c r="F49" s="14">
        <v>430</v>
      </c>
      <c r="G49" s="14">
        <v>430</v>
      </c>
      <c r="H49" s="14">
        <v>430</v>
      </c>
      <c r="I49" s="14">
        <v>430</v>
      </c>
      <c r="J49" s="14">
        <v>430</v>
      </c>
      <c r="K49" s="14">
        <v>430</v>
      </c>
      <c r="L49" s="14">
        <v>430</v>
      </c>
      <c r="M49" s="14">
        <v>430</v>
      </c>
    </row>
    <row r="50" spans="2:13" x14ac:dyDescent="0.25">
      <c r="B50" s="92" t="s">
        <v>169</v>
      </c>
      <c r="C50" s="14">
        <v>105</v>
      </c>
      <c r="D50" s="14">
        <v>105</v>
      </c>
      <c r="E50" s="14">
        <v>105</v>
      </c>
      <c r="F50" s="14">
        <v>105</v>
      </c>
      <c r="G50" s="14">
        <v>105</v>
      </c>
      <c r="H50" s="14">
        <v>105</v>
      </c>
      <c r="I50" s="14">
        <v>105</v>
      </c>
      <c r="J50" s="14">
        <v>105</v>
      </c>
      <c r="K50" s="14">
        <v>105</v>
      </c>
      <c r="L50" s="14">
        <v>105</v>
      </c>
      <c r="M50" s="14">
        <v>105</v>
      </c>
    </row>
    <row r="51" spans="2:13" x14ac:dyDescent="0.25">
      <c r="B51" s="92" t="s">
        <v>170</v>
      </c>
      <c r="C51" s="93">
        <v>1795.6</v>
      </c>
      <c r="D51" s="93">
        <v>1795.6</v>
      </c>
      <c r="E51" s="93">
        <v>1795.6</v>
      </c>
      <c r="F51" s="93">
        <v>1735.8</v>
      </c>
      <c r="G51" s="93">
        <v>1735.8</v>
      </c>
      <c r="H51" s="93">
        <v>1735.8</v>
      </c>
      <c r="I51" s="93">
        <v>1735.8</v>
      </c>
      <c r="J51" s="93">
        <v>1735.8</v>
      </c>
      <c r="K51" s="93">
        <v>1370.1999999999998</v>
      </c>
      <c r="L51" s="93">
        <v>1070.5</v>
      </c>
      <c r="M51" s="93">
        <v>863.9</v>
      </c>
    </row>
    <row r="52" spans="2:13" x14ac:dyDescent="0.25">
      <c r="B52" s="92" t="s">
        <v>171</v>
      </c>
      <c r="C52" s="93">
        <v>944.2</v>
      </c>
      <c r="D52" s="93">
        <v>944.2</v>
      </c>
      <c r="E52" s="93">
        <v>944.2</v>
      </c>
      <c r="F52" s="93">
        <v>944.2</v>
      </c>
      <c r="G52" s="93">
        <v>944.2</v>
      </c>
      <c r="H52" s="93">
        <v>944.2</v>
      </c>
      <c r="I52" s="93">
        <v>944.2</v>
      </c>
      <c r="J52" s="93">
        <v>825.7</v>
      </c>
      <c r="K52" s="93">
        <v>825.7</v>
      </c>
      <c r="L52" s="93">
        <v>825.7</v>
      </c>
      <c r="M52" s="93">
        <v>825.7</v>
      </c>
    </row>
    <row r="53" spans="2:13" x14ac:dyDescent="0.25">
      <c r="B53" s="92" t="s">
        <v>172</v>
      </c>
      <c r="C53" s="14">
        <v>134</v>
      </c>
      <c r="D53" s="14">
        <v>152</v>
      </c>
      <c r="E53" s="14">
        <v>170</v>
      </c>
      <c r="F53" s="14">
        <v>188</v>
      </c>
      <c r="G53" s="14">
        <v>206</v>
      </c>
      <c r="H53" s="14">
        <v>220</v>
      </c>
      <c r="I53" s="14">
        <v>234</v>
      </c>
      <c r="J53" s="14">
        <v>248</v>
      </c>
      <c r="K53" s="14">
        <v>262</v>
      </c>
      <c r="L53" s="14">
        <v>276</v>
      </c>
      <c r="M53" s="14">
        <v>290</v>
      </c>
    </row>
    <row r="54" spans="2:13" ht="15.75" thickBot="1" x14ac:dyDescent="0.3">
      <c r="B54" s="94" t="s">
        <v>173</v>
      </c>
      <c r="C54" s="91">
        <v>34</v>
      </c>
      <c r="D54" s="91">
        <v>42</v>
      </c>
      <c r="E54" s="91">
        <v>42</v>
      </c>
      <c r="F54" s="91">
        <v>42</v>
      </c>
      <c r="G54" s="91">
        <v>42</v>
      </c>
      <c r="H54" s="91">
        <v>42</v>
      </c>
      <c r="I54" s="91">
        <v>42</v>
      </c>
      <c r="J54" s="91">
        <v>42</v>
      </c>
      <c r="K54" s="91">
        <v>42</v>
      </c>
      <c r="L54" s="91">
        <v>42</v>
      </c>
      <c r="M54" s="91">
        <v>42</v>
      </c>
    </row>
    <row r="55" spans="2:13" ht="15.75" thickTop="1" x14ac:dyDescent="0.25">
      <c r="B55" s="129" t="s">
        <v>174</v>
      </c>
      <c r="C55" s="130">
        <f>SUM(C46:C54)</f>
        <v>4237.8</v>
      </c>
      <c r="D55" s="130">
        <f t="shared" ref="D55:M55" si="0">SUM(D46:D54)</f>
        <v>4263.8</v>
      </c>
      <c r="E55" s="130">
        <f t="shared" si="0"/>
        <v>4281.8</v>
      </c>
      <c r="F55" s="130">
        <f t="shared" si="0"/>
        <v>4240</v>
      </c>
      <c r="G55" s="130">
        <f t="shared" si="0"/>
        <v>4258</v>
      </c>
      <c r="H55" s="130">
        <f t="shared" si="0"/>
        <v>4272</v>
      </c>
      <c r="I55" s="130">
        <f t="shared" si="0"/>
        <v>4286</v>
      </c>
      <c r="J55" s="130">
        <f t="shared" si="0"/>
        <v>4181.5</v>
      </c>
      <c r="K55" s="130">
        <f t="shared" si="0"/>
        <v>3829.8999999999996</v>
      </c>
      <c r="L55" s="130">
        <f t="shared" si="0"/>
        <v>3544.2</v>
      </c>
      <c r="M55" s="130">
        <f t="shared" si="0"/>
        <v>3351.6000000000004</v>
      </c>
    </row>
    <row r="56" spans="2:13" x14ac:dyDescent="0.25">
      <c r="B56" s="131"/>
      <c r="C56" s="132"/>
      <c r="D56" s="132"/>
      <c r="E56" s="132"/>
      <c r="F56" s="132"/>
      <c r="G56" s="132"/>
      <c r="H56" s="132"/>
      <c r="I56" s="132"/>
      <c r="J56" s="132"/>
      <c r="K56" s="132"/>
      <c r="L56" s="132"/>
      <c r="M56" s="132"/>
    </row>
    <row r="57" spans="2:13" x14ac:dyDescent="0.25">
      <c r="B57" s="131" t="s">
        <v>175</v>
      </c>
    </row>
    <row r="58" spans="2:13" x14ac:dyDescent="0.25">
      <c r="B58" s="50" t="s">
        <v>159</v>
      </c>
      <c r="C58" s="14">
        <v>46.65</v>
      </c>
      <c r="D58" s="14">
        <v>55.129999999999995</v>
      </c>
      <c r="E58" s="14">
        <v>61.389999999999993</v>
      </c>
      <c r="F58" s="14">
        <v>68.19</v>
      </c>
      <c r="G58" s="14">
        <v>75.63</v>
      </c>
      <c r="H58" s="14">
        <v>84.22999999999999</v>
      </c>
      <c r="I58" s="14">
        <v>91.469999999999985</v>
      </c>
      <c r="J58" s="14">
        <v>98.70999999999998</v>
      </c>
      <c r="K58" s="14">
        <v>105.94999999999997</v>
      </c>
      <c r="L58" s="14">
        <v>113.18999999999997</v>
      </c>
      <c r="M58" s="14">
        <v>120.42999999999996</v>
      </c>
    </row>
    <row r="59" spans="2:13" x14ac:dyDescent="0.25">
      <c r="B59" s="50" t="s">
        <v>176</v>
      </c>
      <c r="C59" s="14">
        <v>37</v>
      </c>
      <c r="D59" s="14">
        <v>73</v>
      </c>
      <c r="E59" s="14">
        <v>108</v>
      </c>
      <c r="F59" s="14">
        <v>142</v>
      </c>
      <c r="G59" s="14">
        <v>174</v>
      </c>
      <c r="H59" s="14">
        <v>205</v>
      </c>
      <c r="I59" s="14">
        <v>236</v>
      </c>
      <c r="J59" s="14">
        <v>267</v>
      </c>
      <c r="K59" s="14">
        <v>298</v>
      </c>
      <c r="L59" s="14">
        <v>329</v>
      </c>
      <c r="M59" s="14">
        <v>360</v>
      </c>
    </row>
    <row r="60" spans="2:13" x14ac:dyDescent="0.25">
      <c r="B60" s="133"/>
      <c r="C60" s="51"/>
      <c r="D60" s="51"/>
      <c r="E60" s="51"/>
      <c r="F60" s="51"/>
      <c r="G60" s="51"/>
      <c r="H60" s="51"/>
      <c r="I60" s="51"/>
      <c r="J60" s="51"/>
      <c r="K60" s="51"/>
      <c r="L60" s="51"/>
      <c r="M60" s="51"/>
    </row>
    <row r="61" spans="2:13" x14ac:dyDescent="0.25">
      <c r="B61" s="133"/>
      <c r="C61" s="51"/>
      <c r="D61" s="51"/>
      <c r="E61" s="51"/>
      <c r="F61" s="51"/>
      <c r="G61" s="51"/>
      <c r="H61" s="51"/>
      <c r="I61" s="51"/>
      <c r="J61" s="51"/>
      <c r="K61" s="51"/>
      <c r="L61" s="51"/>
      <c r="M61" s="51">
        <f>SUM(M24:M40,M46:M52)</f>
        <v>7232.5999999999995</v>
      </c>
    </row>
    <row r="64" spans="2:13" x14ac:dyDescent="0.25">
      <c r="C64" s="57"/>
      <c r="D64" s="57"/>
      <c r="E64" s="57"/>
      <c r="F64" s="57"/>
      <c r="G64" s="57"/>
      <c r="H64" s="57"/>
      <c r="I64" s="57"/>
      <c r="J64" s="57"/>
      <c r="K64" s="57"/>
      <c r="L64" s="57"/>
      <c r="M64" s="57"/>
    </row>
  </sheetData>
  <pageMargins left="0.7" right="0.7" top="0.75" bottom="0.75" header="0.3" footer="0.3"/>
  <legacyDrawing r:id="rId1"/>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314966-CA6B-4ABF-85BB-71693CB02C4E}">
  <sheetPr>
    <tabColor theme="5"/>
  </sheetPr>
  <dimension ref="A1:N61"/>
  <sheetViews>
    <sheetView zoomScale="90" zoomScaleNormal="90" workbookViewId="0">
      <selection activeCell="E1" sqref="E1"/>
    </sheetView>
  </sheetViews>
  <sheetFormatPr defaultRowHeight="15" x14ac:dyDescent="0.25"/>
  <cols>
    <col min="1" max="1" width="3.85546875" customWidth="1"/>
    <col min="2" max="2" width="43.42578125" customWidth="1"/>
    <col min="3" max="13" width="13.28515625" customWidth="1"/>
  </cols>
  <sheetData>
    <row r="1" spans="1:5" x14ac:dyDescent="0.25">
      <c r="E1" s="109"/>
    </row>
    <row r="2" spans="1:5" x14ac:dyDescent="0.25">
      <c r="B2" s="1" t="s">
        <v>126</v>
      </c>
    </row>
    <row r="3" spans="1:5" x14ac:dyDescent="0.25">
      <c r="B3" s="1" t="s">
        <v>200</v>
      </c>
    </row>
    <row r="4" spans="1:5" x14ac:dyDescent="0.25">
      <c r="B4" s="1"/>
    </row>
    <row r="5" spans="1:5" x14ac:dyDescent="0.25">
      <c r="B5" s="1" t="s">
        <v>183</v>
      </c>
    </row>
    <row r="6" spans="1:5" x14ac:dyDescent="0.25">
      <c r="A6" t="s">
        <v>129</v>
      </c>
      <c r="B6" t="s">
        <v>201</v>
      </c>
    </row>
    <row r="7" spans="1:5" x14ac:dyDescent="0.25">
      <c r="A7" t="s">
        <v>131</v>
      </c>
    </row>
    <row r="8" spans="1:5" x14ac:dyDescent="0.25">
      <c r="A8" t="s">
        <v>133</v>
      </c>
      <c r="B8" s="1"/>
    </row>
    <row r="11" spans="1:5" x14ac:dyDescent="0.25">
      <c r="B11" s="1" t="s">
        <v>128</v>
      </c>
    </row>
    <row r="12" spans="1:5" x14ac:dyDescent="0.25">
      <c r="A12" t="s">
        <v>129</v>
      </c>
      <c r="B12" s="87" t="s">
        <v>202</v>
      </c>
    </row>
    <row r="13" spans="1:5" x14ac:dyDescent="0.25">
      <c r="A13" t="s">
        <v>131</v>
      </c>
      <c r="B13" s="87" t="s">
        <v>203</v>
      </c>
    </row>
    <row r="14" spans="1:5" x14ac:dyDescent="0.25">
      <c r="A14" t="s">
        <v>133</v>
      </c>
      <c r="B14" s="88"/>
    </row>
    <row r="15" spans="1:5" x14ac:dyDescent="0.25">
      <c r="A15" t="s">
        <v>135</v>
      </c>
      <c r="B15" s="96"/>
    </row>
    <row r="16" spans="1:5" x14ac:dyDescent="0.25">
      <c r="A16" t="s">
        <v>137</v>
      </c>
      <c r="B16" s="87"/>
    </row>
    <row r="17" spans="1:13" x14ac:dyDescent="0.25">
      <c r="A17" t="s">
        <v>139</v>
      </c>
      <c r="B17" s="87"/>
    </row>
    <row r="18" spans="1:13" x14ac:dyDescent="0.25">
      <c r="A18" t="s">
        <v>141</v>
      </c>
      <c r="B18" s="87"/>
    </row>
    <row r="19" spans="1:13" x14ac:dyDescent="0.25">
      <c r="A19" t="s">
        <v>143</v>
      </c>
      <c r="B19" s="87"/>
    </row>
    <row r="21" spans="1:13" x14ac:dyDescent="0.25">
      <c r="C21" t="s">
        <v>144</v>
      </c>
    </row>
    <row r="22" spans="1:13" x14ac:dyDescent="0.25">
      <c r="B22" s="1"/>
      <c r="C22" s="89">
        <v>2025</v>
      </c>
      <c r="D22" s="28">
        <v>2026</v>
      </c>
      <c r="E22" s="28">
        <v>2027</v>
      </c>
      <c r="F22" s="28">
        <v>2028</v>
      </c>
      <c r="G22" s="28">
        <v>2029</v>
      </c>
      <c r="H22" s="28">
        <v>2030</v>
      </c>
      <c r="I22" s="28">
        <v>2031</v>
      </c>
      <c r="J22" s="28">
        <v>2032</v>
      </c>
      <c r="K22" s="28">
        <v>2033</v>
      </c>
      <c r="L22" s="28">
        <v>2034</v>
      </c>
      <c r="M22" s="28">
        <v>2035</v>
      </c>
    </row>
    <row r="23" spans="1:13" x14ac:dyDescent="0.25">
      <c r="B23" s="10" t="s">
        <v>145</v>
      </c>
      <c r="C23" s="11"/>
      <c r="D23" s="11"/>
      <c r="E23" s="11"/>
      <c r="F23" s="11"/>
      <c r="G23" s="11"/>
      <c r="H23" s="11"/>
      <c r="I23" s="11"/>
      <c r="J23" s="11"/>
      <c r="K23" s="11"/>
      <c r="L23" s="11"/>
      <c r="M23" s="11"/>
    </row>
    <row r="24" spans="1:13" x14ac:dyDescent="0.25">
      <c r="B24" s="49" t="s">
        <v>146</v>
      </c>
      <c r="C24" s="97">
        <v>0</v>
      </c>
      <c r="D24" s="97">
        <v>0</v>
      </c>
      <c r="E24" s="97">
        <v>0</v>
      </c>
      <c r="F24" s="97">
        <v>0</v>
      </c>
      <c r="G24" s="97">
        <v>0</v>
      </c>
      <c r="H24" s="97">
        <v>50</v>
      </c>
      <c r="I24" s="97">
        <v>50</v>
      </c>
      <c r="J24" s="97">
        <v>50</v>
      </c>
      <c r="K24" s="97">
        <v>50</v>
      </c>
      <c r="L24" s="97">
        <v>500</v>
      </c>
      <c r="M24" s="134">
        <v>1000</v>
      </c>
    </row>
    <row r="25" spans="1:13" x14ac:dyDescent="0.25">
      <c r="B25" s="49" t="s">
        <v>147</v>
      </c>
      <c r="C25" s="97">
        <v>0</v>
      </c>
      <c r="D25" s="97">
        <v>500</v>
      </c>
      <c r="E25" s="97">
        <v>500</v>
      </c>
      <c r="F25" s="97">
        <v>600</v>
      </c>
      <c r="G25" s="97">
        <v>600</v>
      </c>
      <c r="H25" s="97">
        <v>1050</v>
      </c>
      <c r="I25" s="97">
        <v>1050</v>
      </c>
      <c r="J25" s="97">
        <v>1150</v>
      </c>
      <c r="K25" s="97">
        <v>1150</v>
      </c>
      <c r="L25" s="97">
        <v>1500</v>
      </c>
      <c r="M25" s="97">
        <v>1500</v>
      </c>
    </row>
    <row r="26" spans="1:13" x14ac:dyDescent="0.25">
      <c r="B26" s="49" t="s">
        <v>148</v>
      </c>
      <c r="C26" s="97"/>
      <c r="D26" s="97"/>
      <c r="E26" s="97"/>
      <c r="F26" s="97"/>
      <c r="G26" s="97"/>
      <c r="H26" s="97"/>
      <c r="I26" s="97"/>
      <c r="J26" s="97"/>
      <c r="K26" s="97"/>
      <c r="L26" s="97"/>
      <c r="M26" s="97"/>
    </row>
    <row r="27" spans="1:13" x14ac:dyDescent="0.25">
      <c r="B27" s="49" t="s">
        <v>149</v>
      </c>
      <c r="C27" s="97"/>
      <c r="D27" s="97"/>
      <c r="E27" s="97"/>
      <c r="F27" s="97"/>
      <c r="G27" s="97"/>
      <c r="H27" s="97"/>
      <c r="I27" s="97"/>
      <c r="J27" s="97"/>
      <c r="K27" s="97"/>
      <c r="L27" s="97"/>
      <c r="M27" s="97"/>
    </row>
    <row r="28" spans="1:13" x14ac:dyDescent="0.25">
      <c r="B28" s="49" t="s">
        <v>150</v>
      </c>
      <c r="C28" s="97"/>
      <c r="D28" s="97"/>
      <c r="E28" s="97"/>
      <c r="F28" s="97"/>
      <c r="G28" s="97"/>
      <c r="H28" s="97"/>
      <c r="I28" s="97"/>
      <c r="J28" s="97"/>
      <c r="K28" s="97"/>
      <c r="L28" s="97"/>
      <c r="M28" s="97"/>
    </row>
    <row r="29" spans="1:13" x14ac:dyDescent="0.25">
      <c r="B29" s="49" t="s">
        <v>151</v>
      </c>
      <c r="C29" s="97"/>
      <c r="D29" s="97"/>
      <c r="E29" s="97"/>
      <c r="F29" s="97"/>
      <c r="G29" s="97"/>
      <c r="H29" s="97"/>
      <c r="I29" s="97"/>
      <c r="J29" s="97"/>
      <c r="K29" s="97"/>
      <c r="L29" s="97"/>
      <c r="M29" s="97"/>
    </row>
    <row r="30" spans="1:13" x14ac:dyDescent="0.25">
      <c r="B30" s="49" t="s">
        <v>152</v>
      </c>
      <c r="C30" s="97"/>
      <c r="D30" s="97"/>
      <c r="E30" s="97"/>
      <c r="F30" s="97"/>
      <c r="G30" s="97"/>
      <c r="H30" s="97"/>
      <c r="I30" s="97"/>
      <c r="J30" s="97"/>
      <c r="K30" s="97"/>
      <c r="L30" s="97"/>
      <c r="M30" s="97"/>
    </row>
    <row r="31" spans="1:13" x14ac:dyDescent="0.25">
      <c r="B31" s="49" t="s">
        <v>153</v>
      </c>
      <c r="C31" s="14"/>
      <c r="D31" s="14">
        <v>5</v>
      </c>
      <c r="E31" s="14">
        <v>10</v>
      </c>
      <c r="F31" s="14">
        <v>15</v>
      </c>
      <c r="G31" s="14">
        <v>20</v>
      </c>
      <c r="H31" s="14">
        <v>25</v>
      </c>
      <c r="I31" s="14">
        <v>25</v>
      </c>
      <c r="J31" s="14">
        <v>25</v>
      </c>
      <c r="K31" s="14">
        <v>25</v>
      </c>
      <c r="L31" s="14">
        <v>25</v>
      </c>
      <c r="M31" s="14">
        <v>25</v>
      </c>
    </row>
    <row r="32" spans="1:13" x14ac:dyDescent="0.25">
      <c r="B32" s="49" t="s">
        <v>154</v>
      </c>
      <c r="C32" s="97">
        <v>0</v>
      </c>
      <c r="D32" s="97">
        <v>5</v>
      </c>
      <c r="E32" s="97">
        <v>140</v>
      </c>
      <c r="F32" s="97">
        <v>145</v>
      </c>
      <c r="G32" s="97">
        <v>150</v>
      </c>
      <c r="H32" s="97">
        <v>160</v>
      </c>
      <c r="I32" s="97">
        <v>165</v>
      </c>
      <c r="J32" s="97">
        <v>170</v>
      </c>
      <c r="K32" s="97">
        <v>175</v>
      </c>
      <c r="L32" s="97">
        <v>180</v>
      </c>
      <c r="M32" s="97">
        <v>200</v>
      </c>
    </row>
    <row r="33" spans="2:14" x14ac:dyDescent="0.25">
      <c r="B33" s="49" t="s">
        <v>155</v>
      </c>
      <c r="C33" s="97">
        <v>0</v>
      </c>
      <c r="D33" s="97">
        <v>5</v>
      </c>
      <c r="E33" s="97">
        <v>10</v>
      </c>
      <c r="F33" s="97">
        <v>15</v>
      </c>
      <c r="G33" s="97">
        <v>20</v>
      </c>
      <c r="H33" s="97">
        <v>240</v>
      </c>
      <c r="I33" s="97">
        <v>245</v>
      </c>
      <c r="J33" s="97">
        <v>250</v>
      </c>
      <c r="K33" s="97">
        <v>255</v>
      </c>
      <c r="L33" s="97">
        <v>260</v>
      </c>
      <c r="M33" s="97">
        <v>300</v>
      </c>
    </row>
    <row r="34" spans="2:14" x14ac:dyDescent="0.25">
      <c r="B34" s="49" t="s">
        <v>156</v>
      </c>
      <c r="C34" s="97">
        <v>0</v>
      </c>
      <c r="D34" s="97"/>
      <c r="E34" s="97"/>
      <c r="F34" s="97"/>
      <c r="G34" s="97"/>
      <c r="H34" s="97"/>
      <c r="I34" s="97"/>
      <c r="J34" s="97"/>
      <c r="K34" s="97"/>
      <c r="L34" s="97"/>
      <c r="M34" s="97"/>
    </row>
    <row r="35" spans="2:14" x14ac:dyDescent="0.25">
      <c r="B35" s="90" t="s">
        <v>157</v>
      </c>
      <c r="C35" s="97"/>
      <c r="D35" s="97"/>
      <c r="E35" s="97"/>
      <c r="F35" s="97"/>
      <c r="G35" s="97"/>
      <c r="H35" s="97"/>
      <c r="I35" s="97"/>
      <c r="J35" s="97"/>
      <c r="K35" s="97"/>
      <c r="L35" s="97"/>
      <c r="M35" s="97"/>
    </row>
    <row r="36" spans="2:14" x14ac:dyDescent="0.25">
      <c r="B36" s="125" t="s">
        <v>158</v>
      </c>
      <c r="C36" s="97"/>
      <c r="D36" s="97"/>
      <c r="E36" s="97"/>
      <c r="F36" s="97"/>
      <c r="G36" s="97"/>
      <c r="H36" s="97"/>
      <c r="I36" s="97"/>
      <c r="J36" s="97"/>
      <c r="K36" s="97"/>
      <c r="L36" s="97"/>
      <c r="M36" s="97"/>
    </row>
    <row r="37" spans="2:14" x14ac:dyDescent="0.25">
      <c r="B37" s="126" t="s">
        <v>159</v>
      </c>
      <c r="C37" s="99">
        <v>14</v>
      </c>
      <c r="D37" s="97">
        <v>18</v>
      </c>
      <c r="E37" s="97">
        <v>24</v>
      </c>
      <c r="F37" s="97">
        <v>31</v>
      </c>
      <c r="G37" s="97">
        <v>41</v>
      </c>
      <c r="H37" s="97">
        <v>56</v>
      </c>
      <c r="I37" s="97">
        <v>70</v>
      </c>
      <c r="J37" s="97">
        <v>91</v>
      </c>
      <c r="K37" s="97">
        <v>119</v>
      </c>
      <c r="L37" s="97">
        <v>156</v>
      </c>
      <c r="M37" s="97">
        <v>180</v>
      </c>
      <c r="N37" s="74"/>
    </row>
    <row r="38" spans="2:14" x14ac:dyDescent="0.25">
      <c r="B38" s="126" t="s">
        <v>160</v>
      </c>
      <c r="C38" s="135">
        <v>15</v>
      </c>
      <c r="D38" s="136">
        <v>30</v>
      </c>
      <c r="E38" s="136">
        <v>45</v>
      </c>
      <c r="F38" s="136">
        <v>60</v>
      </c>
      <c r="G38" s="136">
        <v>75</v>
      </c>
      <c r="H38" s="136">
        <v>90</v>
      </c>
      <c r="I38" s="136">
        <v>105</v>
      </c>
      <c r="J38" s="136">
        <v>120</v>
      </c>
      <c r="K38" s="136">
        <v>135</v>
      </c>
      <c r="L38" s="136">
        <v>150</v>
      </c>
      <c r="M38" s="136">
        <v>180</v>
      </c>
    </row>
    <row r="39" spans="2:14" x14ac:dyDescent="0.25">
      <c r="B39" s="126" t="s">
        <v>161</v>
      </c>
      <c r="C39" s="135">
        <v>16</v>
      </c>
      <c r="D39" s="135">
        <v>30</v>
      </c>
      <c r="E39" s="135">
        <v>50</v>
      </c>
      <c r="F39" s="135">
        <v>84</v>
      </c>
      <c r="G39" s="135">
        <v>118</v>
      </c>
      <c r="H39" s="135">
        <v>153</v>
      </c>
      <c r="I39" s="135">
        <v>190</v>
      </c>
      <c r="J39" s="135">
        <v>223</v>
      </c>
      <c r="K39" s="135">
        <v>263</v>
      </c>
      <c r="L39" s="135">
        <v>305</v>
      </c>
      <c r="M39" s="135">
        <v>350</v>
      </c>
      <c r="N39" s="74"/>
    </row>
    <row r="40" spans="2:14" x14ac:dyDescent="0.25">
      <c r="B40" s="127" t="s">
        <v>162</v>
      </c>
      <c r="C40" s="97">
        <v>0</v>
      </c>
      <c r="D40" s="97">
        <v>0</v>
      </c>
      <c r="E40" s="97">
        <v>0</v>
      </c>
      <c r="F40" s="97">
        <v>0</v>
      </c>
      <c r="G40" s="97">
        <v>3</v>
      </c>
      <c r="H40" s="97">
        <v>5</v>
      </c>
      <c r="I40" s="97">
        <v>9</v>
      </c>
      <c r="J40" s="97">
        <v>12</v>
      </c>
      <c r="K40" s="97">
        <v>14</v>
      </c>
      <c r="L40" s="97">
        <v>16</v>
      </c>
      <c r="M40" s="97">
        <v>18</v>
      </c>
    </row>
    <row r="41" spans="2:14" x14ac:dyDescent="0.25">
      <c r="B41" s="137" t="s">
        <v>204</v>
      </c>
      <c r="C41" s="99"/>
      <c r="D41" s="99"/>
      <c r="E41" s="99"/>
      <c r="F41" s="99"/>
      <c r="G41" s="99"/>
      <c r="H41" s="99"/>
      <c r="I41" s="99"/>
      <c r="J41" s="99"/>
      <c r="K41" s="99"/>
      <c r="L41" s="99"/>
      <c r="M41" s="99"/>
    </row>
    <row r="43" spans="2:14" x14ac:dyDescent="0.25">
      <c r="C43" t="s">
        <v>163</v>
      </c>
    </row>
    <row r="44" spans="2:14" x14ac:dyDescent="0.25">
      <c r="C44" s="28">
        <v>2025</v>
      </c>
      <c r="D44" s="28">
        <v>2026</v>
      </c>
      <c r="E44" s="28">
        <v>2027</v>
      </c>
      <c r="F44" s="28">
        <v>2028</v>
      </c>
      <c r="G44" s="28">
        <v>2029</v>
      </c>
      <c r="H44" s="28">
        <v>2030</v>
      </c>
      <c r="I44" s="28">
        <v>2031</v>
      </c>
      <c r="J44" s="28">
        <v>2032</v>
      </c>
      <c r="K44" s="28">
        <v>2033</v>
      </c>
      <c r="L44" s="28">
        <v>2034</v>
      </c>
      <c r="M44" s="28">
        <v>2035</v>
      </c>
    </row>
    <row r="45" spans="2:14" x14ac:dyDescent="0.25">
      <c r="B45" s="10" t="s">
        <v>164</v>
      </c>
      <c r="C45" s="11"/>
      <c r="D45" s="11"/>
      <c r="E45" s="11"/>
      <c r="F45" s="11"/>
      <c r="G45" s="11"/>
      <c r="H45" s="11"/>
      <c r="I45" s="11"/>
      <c r="J45" s="11"/>
      <c r="K45" s="11"/>
      <c r="L45" s="11"/>
      <c r="M45" s="11"/>
    </row>
    <row r="46" spans="2:14" x14ac:dyDescent="0.25">
      <c r="B46" s="92" t="s">
        <v>165</v>
      </c>
      <c r="C46" s="14">
        <v>200</v>
      </c>
      <c r="D46" s="14">
        <v>200</v>
      </c>
      <c r="E46" s="14">
        <v>200</v>
      </c>
      <c r="F46" s="14">
        <v>200</v>
      </c>
      <c r="G46" s="14">
        <v>200</v>
      </c>
      <c r="H46" s="14">
        <v>200</v>
      </c>
      <c r="I46" s="14">
        <v>200</v>
      </c>
      <c r="J46" s="14">
        <v>200</v>
      </c>
      <c r="K46" s="14">
        <v>200</v>
      </c>
      <c r="L46" s="14">
        <v>200</v>
      </c>
      <c r="M46" s="14">
        <v>200</v>
      </c>
    </row>
    <row r="47" spans="2:14" x14ac:dyDescent="0.25">
      <c r="B47" s="92" t="s">
        <v>166</v>
      </c>
      <c r="C47" s="14">
        <v>595</v>
      </c>
      <c r="D47" s="14">
        <v>595</v>
      </c>
      <c r="E47" s="14">
        <v>595</v>
      </c>
      <c r="F47" s="14">
        <v>595</v>
      </c>
      <c r="G47" s="14">
        <v>595</v>
      </c>
      <c r="H47" s="14">
        <v>595</v>
      </c>
      <c r="I47" s="14">
        <v>595</v>
      </c>
      <c r="J47" s="14">
        <v>595</v>
      </c>
      <c r="K47" s="14">
        <v>595</v>
      </c>
      <c r="L47" s="14">
        <v>595</v>
      </c>
      <c r="M47" s="14">
        <v>595</v>
      </c>
    </row>
    <row r="48" spans="2:14" x14ac:dyDescent="0.25">
      <c r="B48" s="92" t="s">
        <v>167</v>
      </c>
      <c r="C48" s="14">
        <v>0</v>
      </c>
      <c r="D48" s="14">
        <v>0</v>
      </c>
      <c r="E48" s="14">
        <v>0</v>
      </c>
      <c r="F48" s="14">
        <v>0</v>
      </c>
      <c r="G48" s="14">
        <v>0</v>
      </c>
      <c r="H48" s="14">
        <v>0</v>
      </c>
      <c r="I48" s="14">
        <v>0</v>
      </c>
      <c r="J48" s="14">
        <v>0</v>
      </c>
      <c r="K48" s="14">
        <v>0</v>
      </c>
      <c r="L48" s="14">
        <v>0</v>
      </c>
      <c r="M48" s="14">
        <v>0</v>
      </c>
    </row>
    <row r="49" spans="2:13" x14ac:dyDescent="0.25">
      <c r="B49" s="92" t="s">
        <v>168</v>
      </c>
      <c r="C49" s="14">
        <v>430</v>
      </c>
      <c r="D49" s="14">
        <v>430</v>
      </c>
      <c r="E49" s="14">
        <v>430</v>
      </c>
      <c r="F49" s="14">
        <v>430</v>
      </c>
      <c r="G49" s="14">
        <v>430</v>
      </c>
      <c r="H49" s="14">
        <v>430</v>
      </c>
      <c r="I49" s="14">
        <v>430</v>
      </c>
      <c r="J49" s="14">
        <v>430</v>
      </c>
      <c r="K49" s="14">
        <v>430</v>
      </c>
      <c r="L49" s="14">
        <v>430</v>
      </c>
      <c r="M49" s="14">
        <v>430</v>
      </c>
    </row>
    <row r="50" spans="2:13" x14ac:dyDescent="0.25">
      <c r="B50" s="92" t="s">
        <v>169</v>
      </c>
      <c r="C50" s="14">
        <v>105</v>
      </c>
      <c r="D50" s="14">
        <v>105</v>
      </c>
      <c r="E50" s="14">
        <v>105</v>
      </c>
      <c r="F50" s="14">
        <v>105</v>
      </c>
      <c r="G50" s="14">
        <v>105</v>
      </c>
      <c r="H50" s="14">
        <v>105</v>
      </c>
      <c r="I50" s="14">
        <v>105</v>
      </c>
      <c r="J50" s="14">
        <v>105</v>
      </c>
      <c r="K50" s="14">
        <v>105</v>
      </c>
      <c r="L50" s="14">
        <v>105</v>
      </c>
      <c r="M50" s="14">
        <v>105</v>
      </c>
    </row>
    <row r="51" spans="2:13" x14ac:dyDescent="0.25">
      <c r="B51" s="92" t="s">
        <v>170</v>
      </c>
      <c r="C51" s="93">
        <v>1795.6</v>
      </c>
      <c r="D51" s="93">
        <v>1795.6</v>
      </c>
      <c r="E51" s="93">
        <v>1795.6</v>
      </c>
      <c r="F51" s="93">
        <v>1735.8</v>
      </c>
      <c r="G51" s="93">
        <v>1735.8</v>
      </c>
      <c r="H51" s="93">
        <v>1735.8</v>
      </c>
      <c r="I51" s="93">
        <v>1735.8</v>
      </c>
      <c r="J51" s="93">
        <v>1735.8</v>
      </c>
      <c r="K51" s="93">
        <v>1370.1999999999998</v>
      </c>
      <c r="L51" s="93">
        <v>1070.5</v>
      </c>
      <c r="M51" s="93">
        <v>863.9</v>
      </c>
    </row>
    <row r="52" spans="2:13" x14ac:dyDescent="0.25">
      <c r="B52" s="92" t="s">
        <v>171</v>
      </c>
      <c r="C52" s="93">
        <v>944.2</v>
      </c>
      <c r="D52" s="93">
        <v>944.2</v>
      </c>
      <c r="E52" s="93">
        <v>944.2</v>
      </c>
      <c r="F52" s="93">
        <v>944.2</v>
      </c>
      <c r="G52" s="93">
        <v>944.2</v>
      </c>
      <c r="H52" s="93">
        <v>944.2</v>
      </c>
      <c r="I52" s="93">
        <v>944.2</v>
      </c>
      <c r="J52" s="93">
        <v>825.7</v>
      </c>
      <c r="K52" s="93">
        <v>825.7</v>
      </c>
      <c r="L52" s="93">
        <v>825.7</v>
      </c>
      <c r="M52" s="93">
        <v>825.7</v>
      </c>
    </row>
    <row r="53" spans="2:13" x14ac:dyDescent="0.25">
      <c r="B53" s="92" t="s">
        <v>172</v>
      </c>
      <c r="C53" s="14">
        <v>134</v>
      </c>
      <c r="D53" s="14">
        <v>152</v>
      </c>
      <c r="E53" s="14">
        <v>170</v>
      </c>
      <c r="F53" s="14">
        <v>188</v>
      </c>
      <c r="G53" s="14">
        <v>206</v>
      </c>
      <c r="H53" s="14">
        <v>220</v>
      </c>
      <c r="I53" s="14">
        <v>234</v>
      </c>
      <c r="J53" s="14">
        <v>248</v>
      </c>
      <c r="K53" s="14">
        <v>262</v>
      </c>
      <c r="L53" s="14">
        <v>276</v>
      </c>
      <c r="M53" s="14">
        <v>290</v>
      </c>
    </row>
    <row r="54" spans="2:13" ht="15.75" thickBot="1" x14ac:dyDescent="0.3">
      <c r="B54" s="94" t="s">
        <v>173</v>
      </c>
      <c r="C54" s="91">
        <v>34</v>
      </c>
      <c r="D54" s="91">
        <v>42</v>
      </c>
      <c r="E54" s="91">
        <v>42</v>
      </c>
      <c r="F54" s="91">
        <v>42</v>
      </c>
      <c r="G54" s="91">
        <v>42</v>
      </c>
      <c r="H54" s="91">
        <v>42</v>
      </c>
      <c r="I54" s="91">
        <v>42</v>
      </c>
      <c r="J54" s="91">
        <v>42</v>
      </c>
      <c r="K54" s="91">
        <v>42</v>
      </c>
      <c r="L54" s="91">
        <v>42</v>
      </c>
      <c r="M54" s="91">
        <v>42</v>
      </c>
    </row>
    <row r="55" spans="2:13" ht="15.75" thickTop="1" x14ac:dyDescent="0.25">
      <c r="B55" s="129" t="s">
        <v>174</v>
      </c>
      <c r="C55" s="130">
        <f>SUM(C46:C54)</f>
        <v>4237.8</v>
      </c>
      <c r="D55" s="130">
        <f t="shared" ref="D55:M55" si="0">SUM(D46:D54)</f>
        <v>4263.8</v>
      </c>
      <c r="E55" s="130">
        <f t="shared" si="0"/>
        <v>4281.8</v>
      </c>
      <c r="F55" s="130">
        <f t="shared" si="0"/>
        <v>4240</v>
      </c>
      <c r="G55" s="130">
        <f t="shared" si="0"/>
        <v>4258</v>
      </c>
      <c r="H55" s="130">
        <f t="shared" si="0"/>
        <v>4272</v>
      </c>
      <c r="I55" s="130">
        <f t="shared" si="0"/>
        <v>4286</v>
      </c>
      <c r="J55" s="130">
        <f t="shared" si="0"/>
        <v>4181.5</v>
      </c>
      <c r="K55" s="130">
        <f t="shared" si="0"/>
        <v>3829.8999999999996</v>
      </c>
      <c r="L55" s="130">
        <f t="shared" si="0"/>
        <v>3544.2</v>
      </c>
      <c r="M55" s="130">
        <f t="shared" si="0"/>
        <v>3351.6000000000004</v>
      </c>
    </row>
    <row r="56" spans="2:13" x14ac:dyDescent="0.25">
      <c r="B56" s="131"/>
      <c r="C56" s="132"/>
      <c r="D56" s="132"/>
      <c r="E56" s="132"/>
      <c r="F56" s="132"/>
      <c r="G56" s="132"/>
      <c r="H56" s="132"/>
      <c r="I56" s="132"/>
      <c r="J56" s="132"/>
      <c r="K56" s="132"/>
      <c r="L56" s="132"/>
      <c r="M56" s="132"/>
    </row>
    <row r="57" spans="2:13" x14ac:dyDescent="0.25">
      <c r="B57" s="131" t="s">
        <v>175</v>
      </c>
    </row>
    <row r="58" spans="2:13" x14ac:dyDescent="0.25">
      <c r="B58" s="50" t="s">
        <v>159</v>
      </c>
      <c r="C58" s="14">
        <v>46.65</v>
      </c>
      <c r="D58" s="14">
        <v>55.129999999999995</v>
      </c>
      <c r="E58" s="14">
        <v>61.389999999999993</v>
      </c>
      <c r="F58" s="14">
        <v>68.19</v>
      </c>
      <c r="G58" s="14">
        <v>75.63</v>
      </c>
      <c r="H58" s="14">
        <v>84.22999999999999</v>
      </c>
      <c r="I58" s="14">
        <v>91.469999999999985</v>
      </c>
      <c r="J58" s="14">
        <v>98.70999999999998</v>
      </c>
      <c r="K58" s="14">
        <v>105.94999999999997</v>
      </c>
      <c r="L58" s="14">
        <v>113.18999999999997</v>
      </c>
      <c r="M58" s="14">
        <v>120.42999999999996</v>
      </c>
    </row>
    <row r="59" spans="2:13" x14ac:dyDescent="0.25">
      <c r="B59" s="50" t="s">
        <v>176</v>
      </c>
      <c r="C59" s="14">
        <v>37</v>
      </c>
      <c r="D59" s="14">
        <v>73</v>
      </c>
      <c r="E59" s="14">
        <v>108</v>
      </c>
      <c r="F59" s="14">
        <v>142</v>
      </c>
      <c r="G59" s="14">
        <v>174</v>
      </c>
      <c r="H59" s="14">
        <v>205</v>
      </c>
      <c r="I59" s="14">
        <v>236</v>
      </c>
      <c r="J59" s="14">
        <v>267</v>
      </c>
      <c r="K59" s="14">
        <v>298</v>
      </c>
      <c r="L59" s="14">
        <v>329</v>
      </c>
      <c r="M59" s="14">
        <v>360</v>
      </c>
    </row>
    <row r="60" spans="2:13" x14ac:dyDescent="0.25">
      <c r="B60" s="133"/>
      <c r="C60" s="51"/>
      <c r="D60" s="51"/>
      <c r="E60" s="51"/>
      <c r="F60" s="51"/>
      <c r="G60" s="51"/>
      <c r="H60" s="51"/>
      <c r="I60" s="51"/>
      <c r="J60" s="51"/>
      <c r="K60" s="51"/>
      <c r="L60" s="51"/>
      <c r="M60" s="51"/>
    </row>
    <row r="61" spans="2:13" x14ac:dyDescent="0.25">
      <c r="B61" s="133"/>
      <c r="C61" s="51"/>
      <c r="D61" s="51"/>
      <c r="E61" s="51"/>
      <c r="F61" s="51"/>
      <c r="G61" s="51"/>
      <c r="H61" s="51"/>
      <c r="I61" s="51"/>
      <c r="J61" s="51"/>
      <c r="K61" s="51"/>
      <c r="L61" s="51"/>
      <c r="M61" s="51">
        <f>SUM(M24:M40,M46:M52)</f>
        <v>6772.5999999999995</v>
      </c>
    </row>
  </sheetData>
  <pageMargins left="0.7" right="0.7" top="0.75" bottom="0.75" header="0.3" footer="0.3"/>
  <legacy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5CB3D3-C273-4BD0-8281-58ADBDD2BDAE}">
  <dimension ref="A2:D9"/>
  <sheetViews>
    <sheetView workbookViewId="0">
      <selection activeCell="B2" sqref="B2"/>
    </sheetView>
  </sheetViews>
  <sheetFormatPr defaultRowHeight="15" x14ac:dyDescent="0.25"/>
  <cols>
    <col min="1" max="1" width="47.28515625" customWidth="1"/>
    <col min="2" max="2" width="24.28515625" customWidth="1"/>
    <col min="3" max="3" width="23.28515625" customWidth="1"/>
    <col min="4" max="4" width="28.140625" customWidth="1"/>
    <col min="5" max="6" width="13.28515625" customWidth="1"/>
  </cols>
  <sheetData>
    <row r="2" spans="1:4" x14ac:dyDescent="0.25">
      <c r="B2" s="109"/>
    </row>
    <row r="4" spans="1:4" x14ac:dyDescent="0.25">
      <c r="B4" s="52" t="s">
        <v>160</v>
      </c>
      <c r="C4" s="52" t="s">
        <v>159</v>
      </c>
      <c r="D4" s="52" t="s">
        <v>205</v>
      </c>
    </row>
    <row r="5" spans="1:4" x14ac:dyDescent="0.25">
      <c r="A5" s="4" t="s">
        <v>206</v>
      </c>
      <c r="B5" s="4">
        <v>360</v>
      </c>
      <c r="C5" s="4">
        <v>269</v>
      </c>
      <c r="D5" s="4">
        <v>431</v>
      </c>
    </row>
    <row r="6" spans="1:4" x14ac:dyDescent="0.25">
      <c r="A6" s="4" t="s">
        <v>75</v>
      </c>
      <c r="B6" s="4">
        <v>360</v>
      </c>
      <c r="C6" s="4">
        <v>269</v>
      </c>
      <c r="D6" s="4">
        <v>431</v>
      </c>
    </row>
    <row r="7" spans="1:4" x14ac:dyDescent="0.25">
      <c r="A7" s="4" t="s">
        <v>76</v>
      </c>
      <c r="B7" s="4">
        <v>540</v>
      </c>
      <c r="C7" s="4">
        <v>325</v>
      </c>
      <c r="D7" s="4">
        <v>960</v>
      </c>
    </row>
    <row r="8" spans="1:4" x14ac:dyDescent="0.25">
      <c r="A8" s="4" t="s">
        <v>77</v>
      </c>
      <c r="B8" s="4">
        <v>540</v>
      </c>
      <c r="C8" s="4">
        <v>400</v>
      </c>
      <c r="D8" s="4">
        <v>860</v>
      </c>
    </row>
    <row r="9" spans="1:4" x14ac:dyDescent="0.25">
      <c r="A9" s="4" t="s">
        <v>78</v>
      </c>
      <c r="B9" s="4">
        <v>540</v>
      </c>
      <c r="C9" s="4">
        <v>300</v>
      </c>
      <c r="D9" s="4">
        <v>700</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26E25E297A03040A4F166A7DA708D6B" ma:contentTypeVersion="13" ma:contentTypeDescription="Create a new document." ma:contentTypeScope="" ma:versionID="eeda3ba3dea4f069ec5aeb048b3d504e">
  <xsd:schema xmlns:xsd="http://www.w3.org/2001/XMLSchema" xmlns:xs="http://www.w3.org/2001/XMLSchema" xmlns:p="http://schemas.microsoft.com/office/2006/metadata/properties" xmlns:ns2="436910e2-88a9-411e-8c3f-b8eae745c852" xmlns:ns3="eb05d65e-a976-4c58-858c-022c1795fdcf" targetNamespace="http://schemas.microsoft.com/office/2006/metadata/properties" ma:root="true" ma:fieldsID="04fecb807357bcaa968df71249168478" ns2:_="" ns3:_="">
    <xsd:import namespace="436910e2-88a9-411e-8c3f-b8eae745c852"/>
    <xsd:import namespace="eb05d65e-a976-4c58-858c-022c1795fdc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36910e2-88a9-411e-8c3f-b8eae745c85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59d1f41d-757d-4ba5-a34e-6b29e202a6a9"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b05d65e-a976-4c58-858c-022c1795fdcf"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4335e916-b085-4f64-a1ef-d00ddd870a3f}" ma:internalName="TaxCatchAll" ma:showField="CatchAllData" ma:web="eb05d65e-a976-4c58-858c-022c1795fdc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436910e2-88a9-411e-8c3f-b8eae745c852">
      <Terms xmlns="http://schemas.microsoft.com/office/infopath/2007/PartnerControls"/>
    </lcf76f155ced4ddcb4097134ff3c332f>
    <TaxCatchAll xmlns="eb05d65e-a976-4c58-858c-022c1795fdcf" xsi:nil="true"/>
  </documentManagement>
</p:properties>
</file>

<file path=customXml/itemProps1.xml><?xml version="1.0" encoding="utf-8"?>
<ds:datastoreItem xmlns:ds="http://schemas.openxmlformats.org/officeDocument/2006/customXml" ds:itemID="{629965AA-60AA-451F-A073-7679D189C17D}">
  <ds:schemaRefs>
    <ds:schemaRef ds:uri="http://schemas.microsoft.com/sharepoint/v3/contenttype/forms"/>
  </ds:schemaRefs>
</ds:datastoreItem>
</file>

<file path=customXml/itemProps2.xml><?xml version="1.0" encoding="utf-8"?>
<ds:datastoreItem xmlns:ds="http://schemas.openxmlformats.org/officeDocument/2006/customXml" ds:itemID="{9B82B636-615F-4F69-B757-E94D49BFDC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36910e2-88a9-411e-8c3f-b8eae745c852"/>
    <ds:schemaRef ds:uri="eb05d65e-a976-4c58-858c-022c1795fdc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EB9D265-BC0C-46A5-B779-4BC703B27282}">
  <ds:schemaRefs>
    <ds:schemaRef ds:uri="http://schemas.microsoft.com/office/2006/metadata/properties"/>
    <ds:schemaRef ds:uri="http://schemas.microsoft.com/office/infopath/2007/PartnerControls"/>
    <ds:schemaRef ds:uri="436910e2-88a9-411e-8c3f-b8eae745c852"/>
    <ds:schemaRef ds:uri="eb05d65e-a976-4c58-858c-022c1795fdcf"/>
  </ds:schemaRefs>
</ds:datastoreItem>
</file>

<file path=docMetadata/LabelInfo.xml><?xml version="1.0" encoding="utf-8"?>
<clbl:labelList xmlns:clbl="http://schemas.microsoft.com/office/2020/mipLabelMetadata">
  <clbl:label id="{487ff0d5-859f-4698-9b9b-079befd22fd5}" enabled="1" method="Standard" siteId="{482dc10d-9180-4c99-816e-70ee2557afd5}"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Values by Metric</vt:lpstr>
      <vt:lpstr>Net Cost</vt:lpstr>
      <vt:lpstr>Bill Impact</vt:lpstr>
      <vt:lpstr>Liquidity Risk</vt:lpstr>
      <vt:lpstr>Capacity Factor</vt:lpstr>
      <vt:lpstr>Reliability Risk Hours</vt:lpstr>
      <vt:lpstr>P14-17 Emissions</vt:lpstr>
      <vt:lpstr>CF % of load</vt:lpstr>
      <vt:lpstr>P14-17 Tradeoffs</vt:lpstr>
      <vt:lpstr>10</vt:lpstr>
      <vt:lpstr>12</vt:lpstr>
      <vt:lpstr>14</vt:lpstr>
      <vt:lpstr>15</vt:lpstr>
      <vt:lpstr>16</vt:lpstr>
      <vt:lpstr>17</vt:lpstr>
      <vt:lpstr>AE DSM Existing Projections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Hoffman, Michael</dc:creator>
  <cp:keywords/>
  <dc:description/>
  <cp:lastModifiedBy>Hoffman, Michael</cp:lastModifiedBy>
  <cp:revision/>
  <dcterms:created xsi:type="dcterms:W3CDTF">2024-09-25T17:38:40Z</dcterms:created>
  <dcterms:modified xsi:type="dcterms:W3CDTF">2024-10-28T17:28:34Z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0x010100826E25E297A03040A4F166A7DA708D6B</vt:lpwstr>
  </property>
  <property fmtid="{D5CDD505-2E9C-101B-9397-08002B2CF9AE}" pid="3" name="MediaServiceImageTags">
    <vt:lpwstr/>
  </property>
</Properties>
</file>