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C:\Users\GerusoA\Downloads\"/>
    </mc:Choice>
  </mc:AlternateContent>
  <xr:revisionPtr revIDLastSave="0" documentId="8_{B2DF157D-A08C-4F3D-99D1-C7D0BB4BF6B2}" xr6:coauthVersionLast="47" xr6:coauthVersionMax="47" xr10:uidLastSave="{00000000-0000-0000-0000-000000000000}"/>
  <bookViews>
    <workbookView xWindow="-110" yWindow="-110" windowWidth="19420" windowHeight="10420" activeTab="1" xr2:uid="{00000000-000D-0000-FFFF-FFFF00000000}"/>
  </bookViews>
  <sheets>
    <sheet name="Tool Overview " sheetId="5" r:id="rId1"/>
    <sheet name="Instructions and Results" sheetId="2" r:id="rId2"/>
    <sheet name="Density Tool" sheetId="1" r:id="rId3"/>
    <sheet name="City Assumptions"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8" i="1" l="1"/>
  <c r="C14" i="3"/>
  <c r="J7" i="1" l="1"/>
  <c r="J11" i="1"/>
  <c r="E30" i="1" l="1"/>
  <c r="E29" i="1"/>
  <c r="E28" i="1"/>
  <c r="E27" i="1"/>
  <c r="H5" i="1"/>
  <c r="G2" i="1"/>
  <c r="C12" i="1"/>
  <c r="C17" i="1" l="1"/>
  <c r="C28" i="1" s="1"/>
  <c r="C18" i="1"/>
  <c r="C29" i="1" s="1"/>
  <c r="C19" i="1"/>
  <c r="C30" i="1" s="1"/>
  <c r="C11" i="1"/>
  <c r="C13" i="3"/>
  <c r="C12" i="3"/>
  <c r="C13" i="1" l="1"/>
  <c r="C21" i="1"/>
  <c r="C23" i="1"/>
  <c r="C22" i="1"/>
  <c r="C24" i="1" l="1"/>
  <c r="A9" i="5"/>
  <c r="A10" i="5"/>
  <c r="A11" i="5"/>
  <c r="M10" i="1" l="1"/>
  <c r="C16" i="1"/>
  <c r="C36" i="1" s="1"/>
  <c r="H21" i="1"/>
  <c r="H27" i="1"/>
  <c r="H13" i="1"/>
  <c r="I8" i="1"/>
  <c r="G14" i="1"/>
  <c r="C27" i="1" l="1"/>
  <c r="C31" i="1" s="1"/>
  <c r="C5" i="1"/>
  <c r="C14" i="1" s="1"/>
  <c r="M12" i="1"/>
  <c r="C32" i="1" l="1"/>
  <c r="C33" i="1" s="1"/>
  <c r="C37" i="1" s="1"/>
  <c r="G12" i="2"/>
  <c r="G13" i="2"/>
  <c r="C35" i="1" l="1"/>
  <c r="C38" i="1" l="1"/>
  <c r="H11" i="1" l="1"/>
  <c r="H6" i="1"/>
  <c r="H7" i="1" s="1"/>
  <c r="H24" i="1" s="1"/>
  <c r="H25" i="1" s="1"/>
  <c r="H26" i="1" s="1"/>
  <c r="G14" i="2"/>
  <c r="G22" i="1"/>
  <c r="G28" i="1"/>
  <c r="G17" i="1"/>
  <c r="H12" i="1" l="1"/>
  <c r="H20" i="1" s="1"/>
  <c r="G24" i="2" s="1"/>
  <c r="H28" i="1"/>
  <c r="H9" i="1"/>
  <c r="M5" i="1" s="1"/>
  <c r="G21" i="2" s="1"/>
  <c r="H14" i="1" l="1"/>
  <c r="M7" i="1" s="1"/>
  <c r="H22" i="1"/>
  <c r="H30" i="1" s="1"/>
  <c r="M9" i="1" l="1"/>
  <c r="M11" i="1" l="1"/>
  <c r="M15" i="1" s="1"/>
  <c r="G17" i="2" s="1"/>
  <c r="M13" i="1" l="1"/>
  <c r="G18" i="2"/>
  <c r="G16" i="2"/>
  <c r="G19" i="2" s="1"/>
</calcChain>
</file>

<file path=xl/sharedStrings.xml><?xml version="1.0" encoding="utf-8"?>
<sst xmlns="http://schemas.openxmlformats.org/spreadsheetml/2006/main" count="194" uniqueCount="142">
  <si>
    <t>South Central Waterfront Density Bonus Program</t>
  </si>
  <si>
    <t>Program Description and Intent</t>
  </si>
  <si>
    <t>The City of Austin seeks to establish an incentive program for the South Central Waterfront (SCW), through which property owners and developers could achieve higher density than is currently allowed for their sites if they provide certain levels of community benefit.</t>
  </si>
  <si>
    <t>The program is meant to create a level playing field for all sites and a "by right" density bonus rather than having each project be negotiated uniquely as through the Planned Unit Development (PUD) process.</t>
  </si>
  <si>
    <t>The City has determined that the first priority for community benefits should be affordable housing, and aims to have affordable units constructed within new SCW projects, not just collect in-lieu fees to be used for affordable units elsewhere.</t>
  </si>
  <si>
    <t>However, a variety of other community objectives are also important, including parks and open space, circulation infrastructure, environmental sustainability features, cultural venues, child/eldercare facilities, etc.</t>
  </si>
  <si>
    <t xml:space="preserve">The total community benefits obligation (Level 1 and Level 2 combined) is intended to increase in proportion to the additional density sought by the project, but will include a mix of on-site affordable units, on-site "in-kind" contributions, and monetary payments that the City can use for infrastructure and amenities to serve the SCW district. </t>
  </si>
  <si>
    <t>Density Bonus Tool Instructions</t>
  </si>
  <si>
    <t>The resulting community benefits obligations are summarized in the blue boxes on this "Instructions and Results" spreadsheet tab, and calculations leading to these results can be viewed on the "Density Tool" spreadsheet tab.</t>
  </si>
  <si>
    <t>Project Inputs</t>
  </si>
  <si>
    <t>Results - Community Benefit Requirements for Desired Density</t>
  </si>
  <si>
    <t>Site and Current Entitlement Characteristics</t>
  </si>
  <si>
    <t>Gross Site Area (SF)</t>
  </si>
  <si>
    <t>Level 1 Non-Residential Bonus Fee Required</t>
  </si>
  <si>
    <t>Desired Building Characteristics (Total with Bonus)</t>
  </si>
  <si>
    <t>Total Level 2 Community Benefits Value Required</t>
  </si>
  <si>
    <t>Total Level 2 Obligation to be paid as Density Bonus Fee</t>
  </si>
  <si>
    <t>Required Value of Level 2 In-Kind Community Benefits</t>
  </si>
  <si>
    <t>Existing Conditions</t>
  </si>
  <si>
    <t>Formula</t>
  </si>
  <si>
    <t>Project Input</t>
  </si>
  <si>
    <t>a</t>
  </si>
  <si>
    <t>Calculated</t>
  </si>
  <si>
    <t>Assumption</t>
  </si>
  <si>
    <t>Level 1 Required On-Site Affordable Unit Percentage</t>
  </si>
  <si>
    <t>Desired Conditions</t>
  </si>
  <si>
    <t>Building Characteristics (Total with Bonus)</t>
  </si>
  <si>
    <t>Level 1 Bonus Fee per Level 1 Non-Residential SF</t>
  </si>
  <si>
    <t>Percent to be paid as Density Bonus Fee</t>
  </si>
  <si>
    <t>Percent to be provided as In-Kind Community Benefits</t>
  </si>
  <si>
    <t>Non-Residential Building SF (Gross)</t>
  </si>
  <si>
    <t>Level 2 Community Benefit Value per Level 2 Residential Bonus SF</t>
  </si>
  <si>
    <t>Level 2 Community Benefit Value per Level 2 Non-Res Bonus SF</t>
  </si>
  <si>
    <t>bb</t>
  </si>
  <si>
    <t>City Assumptions</t>
  </si>
  <si>
    <t>Integers only</t>
  </si>
  <si>
    <t>However, rather than simply allowing developers to pay a fee for their Level 2 community benefits obligations, the City would require a portion of those community benefits to be provided as monetary payments through fees and another portion provided as "in-kind" contributions on-site.</t>
  </si>
  <si>
    <t>Such "in-kind" contributions may include child/eldercare facilities, cultural arts and performance spaces, environmental features, and other items from a "menu" not yet finalized by the City.</t>
  </si>
  <si>
    <t>Residential</t>
  </si>
  <si>
    <t>Desired Conditioned SF</t>
  </si>
  <si>
    <t>Desired Parking SF</t>
  </si>
  <si>
    <t>Total Number of Housing Units Expected</t>
  </si>
  <si>
    <t>Total Parking FAR Excluded</t>
  </si>
  <si>
    <t>Housing Fee</t>
  </si>
  <si>
    <t>Infrastructure Fee</t>
  </si>
  <si>
    <t>Base FAR for Housing and Gatekeeper Requirements (Level 1 FAR)</t>
  </si>
  <si>
    <t>Non-residential Bonus Fee under Base FAR (Within Level 1)</t>
  </si>
  <si>
    <t>Non-residential Bonus Fee over Base FAR</t>
  </si>
  <si>
    <t>Residential Bonus Fee</t>
  </si>
  <si>
    <t>Percent to be paid as Density Bonus</t>
  </si>
  <si>
    <t>Percent of Fee going to Housing</t>
  </si>
  <si>
    <t>Percent of Fee going to Parks</t>
  </si>
  <si>
    <t>Percent of Fee going to Infrastructure</t>
  </si>
  <si>
    <t>Residential parking entitlement FAR coefficient</t>
  </si>
  <si>
    <t>Hotel parking entitlement FAR coefficient</t>
  </si>
  <si>
    <t>Office parking entitlement FAR coefficient</t>
  </si>
  <si>
    <t>Retail parking entitlement FAR coefficient</t>
  </si>
  <si>
    <t>Percent of Conditioned Building area Residential</t>
  </si>
  <si>
    <t>Percent of Conditioned Building area Hotel</t>
  </si>
  <si>
    <t>Percent of Conditioned Building area Office</t>
  </si>
  <si>
    <t>Percent of Conditioned Building area Retail</t>
  </si>
  <si>
    <t>Parks Fee from Bonus</t>
  </si>
  <si>
    <t>Total Level 1 and Level 2 Fee Payment Required</t>
  </si>
  <si>
    <t>Hotel Conditioned SF</t>
  </si>
  <si>
    <t>Office Conditioned SF</t>
  </si>
  <si>
    <t>Retail Conditioned SF</t>
  </si>
  <si>
    <t>Estimated SF of Affordable Residential</t>
  </si>
  <si>
    <t>Parking FAR Excluded:</t>
  </si>
  <si>
    <t>Hotel</t>
  </si>
  <si>
    <t>Office</t>
  </si>
  <si>
    <t>Retail</t>
  </si>
  <si>
    <t>Total Desired Project SF</t>
  </si>
  <si>
    <t>Total Parking SF Excluded</t>
  </si>
  <si>
    <t>Net Total Desired SF</t>
  </si>
  <si>
    <t>Net Total Desired FAR</t>
  </si>
  <si>
    <t>Net Total Desired Non-Residential SF</t>
  </si>
  <si>
    <t>Total Desired Residential SF</t>
  </si>
  <si>
    <t>Units per 1.0 FAR</t>
  </si>
  <si>
    <t>Level 1 Required On-Site Affordable Units (rounded up)</t>
  </si>
  <si>
    <t>Level 1 Net Total Desired Non-Residential SF</t>
  </si>
  <si>
    <t>Total Desired Project Gross FAR</t>
  </si>
  <si>
    <t>Level 1 Far as Proportion of Net Total Desired FAR</t>
  </si>
  <si>
    <t>Level 2 Net Total Desired Non-Residential SF</t>
  </si>
  <si>
    <t>Proportion of Residential Units Accounted for in Level 1</t>
  </si>
  <si>
    <t>Remaining Level 2 Residential Proportion</t>
  </si>
  <si>
    <t>Level 2 Residential Proportion as Applied to Total Desired Residential SF</t>
  </si>
  <si>
    <t>Estimated Number of Affordable Units</t>
  </si>
  <si>
    <t>An interested developer, property owner, or community stakeholder can use this Density Bonus Tool to estimate their community benefits obligation based on the characteristics of the site and the type and scale of project they wish to develop.</t>
  </si>
  <si>
    <t>Please enter figures in the green boxes below representing key characteristics of the existing site and the envisioned project.</t>
  </si>
  <si>
    <t>b</t>
  </si>
  <si>
    <t>c</t>
  </si>
  <si>
    <t>d = b + c</t>
  </si>
  <si>
    <t>e = d / a</t>
  </si>
  <si>
    <t>f</t>
  </si>
  <si>
    <t>g</t>
  </si>
  <si>
    <t>h</t>
  </si>
  <si>
    <t>i</t>
  </si>
  <si>
    <t>j = b * g</t>
  </si>
  <si>
    <t>k = b * h</t>
  </si>
  <si>
    <t>l = b * i</t>
  </si>
  <si>
    <t>r = sum(n:q)</t>
  </si>
  <si>
    <t>s  = a * r</t>
  </si>
  <si>
    <t>t = c - s</t>
  </si>
  <si>
    <t>u = d - s</t>
  </si>
  <si>
    <t>v = b * f</t>
  </si>
  <si>
    <t>w = m + t</t>
  </si>
  <si>
    <t>x = u / a</t>
  </si>
  <si>
    <t>y</t>
  </si>
  <si>
    <t>cc = aa * bb</t>
  </si>
  <si>
    <t>ee = w * dd</t>
  </si>
  <si>
    <t>ff</t>
  </si>
  <si>
    <t>gg = ee * ff</t>
  </si>
  <si>
    <t>hh = w - ee</t>
  </si>
  <si>
    <t>ii</t>
  </si>
  <si>
    <t>jj = hh * ii</t>
  </si>
  <si>
    <t>kk = aa / y</t>
  </si>
  <si>
    <t>ll = 1 - kk</t>
  </si>
  <si>
    <t>mm = v * ll</t>
  </si>
  <si>
    <t>nn</t>
  </si>
  <si>
    <t>oo = mm * nn</t>
  </si>
  <si>
    <t>pp = jj + oo</t>
  </si>
  <si>
    <t>cc</t>
  </si>
  <si>
    <t>gg</t>
  </si>
  <si>
    <t>pp</t>
  </si>
  <si>
    <t>qq</t>
  </si>
  <si>
    <t>rr = pp * qq</t>
  </si>
  <si>
    <t>ss = 1 - qq</t>
  </si>
  <si>
    <t>tt = pp * ss</t>
  </si>
  <si>
    <t>uu = gg + rr</t>
  </si>
  <si>
    <t>m = sum(j:l)</t>
  </si>
  <si>
    <t>REVISED DRAFT</t>
  </si>
  <si>
    <t>The value of such "in-kind" contributions is also a work-in-progress by City staff, but is roughly equivalent to the cost of a developer providing the item and having that cost be credited against the Level 2 community benefits obligation.</t>
  </si>
  <si>
    <t>Desired Above-Grade Parking SF</t>
  </si>
  <si>
    <t>Bonus SF from On-Site Community Benefits Required</t>
  </si>
  <si>
    <t>Project FAR</t>
  </si>
  <si>
    <t>Gross Project FAR</t>
  </si>
  <si>
    <t>Level 1 Units</t>
  </si>
  <si>
    <t>z = y / x</t>
  </si>
  <si>
    <t>Net Desired Parking SF</t>
  </si>
  <si>
    <t>Ratio of Units to Net Total Desired Project FAR</t>
  </si>
  <si>
    <t>Level 2 Overall Community Benefit Value Required</t>
  </si>
  <si>
    <t>Total Fees to be Paid in Cash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</si>
</sst>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quot;$&quot;#,##0"/>
    <numFmt numFmtId="166" formatCode="&quot;$&quot;#,##0.00"/>
    <numFmt numFmtId="167" formatCode="#,##0.000"/>
  </numFmts>
  <fonts count="16" x14ac:knownFonts="1">
    <font>
      <sz val="11"/>
      <color theme="1"/>
      <name val="Calibri"/>
      <family val="2"/>
      <scheme val="minor"/>
    </font>
    <font>
      <sz val="11"/>
      <color theme="1"/>
      <name val="Calibri"/>
      <family val="2"/>
      <scheme val="minor"/>
    </font>
    <font>
      <b/>
      <sz val="11"/>
      <color theme="1"/>
      <name val="Calibri"/>
      <family val="2"/>
      <scheme val="minor"/>
    </font>
    <font>
      <b/>
      <u/>
      <sz val="11"/>
      <color theme="1"/>
      <name val="Calibri"/>
      <family val="2"/>
      <scheme val="minor"/>
    </font>
    <font>
      <i/>
      <sz val="11"/>
      <color theme="1"/>
      <name val="Calibri"/>
      <family val="2"/>
      <scheme val="minor"/>
    </font>
    <font>
      <b/>
      <sz val="11"/>
      <name val="Calibri"/>
      <family val="2"/>
      <scheme val="minor"/>
    </font>
    <font>
      <sz val="11"/>
      <name val="Calibri"/>
      <family val="2"/>
      <scheme val="minor"/>
    </font>
    <font>
      <i/>
      <sz val="11"/>
      <name val="Calibri"/>
      <family val="2"/>
      <scheme val="minor"/>
    </font>
    <font>
      <b/>
      <sz val="11"/>
      <color theme="8"/>
      <name val="Calibri"/>
      <family val="2"/>
      <scheme val="minor"/>
    </font>
    <font>
      <i/>
      <u/>
      <sz val="11"/>
      <color theme="1"/>
      <name val="Calibri"/>
      <family val="2"/>
      <scheme val="minor"/>
    </font>
    <font>
      <b/>
      <sz val="14"/>
      <color theme="1"/>
      <name val="Calibri"/>
      <family val="2"/>
      <scheme val="minor"/>
    </font>
    <font>
      <u/>
      <sz val="11"/>
      <color theme="1"/>
      <name val="Calibri"/>
      <family val="2"/>
      <scheme val="minor"/>
    </font>
    <font>
      <sz val="11"/>
      <color theme="8"/>
      <name val="Calibri"/>
      <family val="2"/>
      <scheme val="minor"/>
    </font>
    <font>
      <sz val="11"/>
      <color rgb="FFFF0000"/>
      <name val="Calibri"/>
      <family val="2"/>
      <scheme val="minor"/>
    </font>
    <font>
      <u/>
      <sz val="11"/>
      <name val="Calibri"/>
      <family val="2"/>
      <scheme val="minor"/>
    </font>
    <font>
      <u/>
      <sz val="11"/>
      <color theme="8"/>
      <name val="Calibri"/>
      <family val="2"/>
      <scheme val="minor"/>
    </font>
  </fonts>
  <fills count="8">
    <fill>
      <patternFill patternType="none"/>
    </fill>
    <fill>
      <patternFill patternType="gray125"/>
    </fill>
    <fill>
      <patternFill patternType="solid">
        <fgColor theme="6" tint="0.79998168889431442"/>
        <bgColor indexed="64"/>
      </patternFill>
    </fill>
    <fill>
      <patternFill patternType="solid">
        <fgColor theme="0"/>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theme="4" tint="0.59999389629810485"/>
        <bgColor indexed="64"/>
      </patternFill>
    </fill>
    <fill>
      <patternFill patternType="solid">
        <fgColor theme="7" tint="0.59999389629810485"/>
        <bgColor indexed="64"/>
      </patternFill>
    </fill>
  </fills>
  <borders count="1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thin">
        <color indexed="64"/>
      </left>
      <right style="thin">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141">
    <xf numFmtId="0" fontId="0" fillId="0" borderId="0" xfId="0"/>
    <xf numFmtId="0" fontId="3" fillId="3" borderId="7" xfId="0" applyFont="1" applyFill="1" applyBorder="1" applyAlignment="1">
      <alignment horizontal="center"/>
    </xf>
    <xf numFmtId="0" fontId="3" fillId="3" borderId="8" xfId="0" applyFont="1" applyFill="1" applyBorder="1" applyAlignment="1">
      <alignment horizontal="center"/>
    </xf>
    <xf numFmtId="0" fontId="0" fillId="3" borderId="7" xfId="0" applyFill="1" applyBorder="1"/>
    <xf numFmtId="0" fontId="0" fillId="3" borderId="8" xfId="0" applyFill="1" applyBorder="1"/>
    <xf numFmtId="0" fontId="2" fillId="3" borderId="7" xfId="0" applyFont="1" applyFill="1" applyBorder="1" applyAlignment="1">
      <alignment horizontal="right"/>
    </xf>
    <xf numFmtId="0" fontId="0" fillId="3" borderId="11" xfId="0" applyFill="1" applyBorder="1"/>
    <xf numFmtId="0" fontId="0" fillId="3" borderId="12" xfId="0" applyFill="1" applyBorder="1"/>
    <xf numFmtId="0" fontId="0" fillId="3" borderId="13" xfId="0" applyFill="1" applyBorder="1"/>
    <xf numFmtId="0" fontId="0" fillId="3" borderId="7" xfId="0" applyFill="1" applyBorder="1" applyAlignment="1">
      <alignment horizontal="right"/>
    </xf>
    <xf numFmtId="0" fontId="5" fillId="3" borderId="8" xfId="0" applyFont="1" applyFill="1" applyBorder="1" applyAlignment="1">
      <alignment horizontal="left"/>
    </xf>
    <xf numFmtId="0" fontId="7" fillId="3" borderId="8" xfId="0" applyFont="1" applyFill="1" applyBorder="1" applyAlignment="1">
      <alignment horizontal="left"/>
    </xf>
    <xf numFmtId="0" fontId="11" fillId="3" borderId="7" xfId="0" applyFont="1" applyFill="1" applyBorder="1" applyAlignment="1">
      <alignment horizontal="right"/>
    </xf>
    <xf numFmtId="3" fontId="8" fillId="4" borderId="10" xfId="0" applyNumberFormat="1" applyFont="1" applyFill="1" applyBorder="1" applyProtection="1">
      <protection locked="0"/>
    </xf>
    <xf numFmtId="9" fontId="8" fillId="4" borderId="10" xfId="1" applyFont="1" applyFill="1" applyBorder="1" applyProtection="1">
      <protection locked="0"/>
    </xf>
    <xf numFmtId="0" fontId="3" fillId="3" borderId="0" xfId="0" applyFont="1" applyFill="1" applyAlignment="1">
      <alignment horizontal="center"/>
    </xf>
    <xf numFmtId="0" fontId="0" fillId="3" borderId="0" xfId="0" applyFill="1"/>
    <xf numFmtId="0" fontId="6" fillId="3" borderId="8" xfId="0" applyFont="1" applyFill="1" applyBorder="1" applyAlignment="1">
      <alignment horizontal="left"/>
    </xf>
    <xf numFmtId="0" fontId="11" fillId="3" borderId="8" xfId="0" applyFont="1" applyFill="1" applyBorder="1" applyAlignment="1">
      <alignment horizontal="center"/>
    </xf>
    <xf numFmtId="0" fontId="8" fillId="3" borderId="10" xfId="0" applyFont="1" applyFill="1" applyBorder="1" applyAlignment="1">
      <alignment horizontal="center"/>
    </xf>
    <xf numFmtId="0" fontId="8" fillId="3" borderId="0" xfId="0" applyFont="1" applyFill="1" applyAlignment="1">
      <alignment horizontal="center"/>
    </xf>
    <xf numFmtId="9" fontId="8" fillId="3" borderId="10" xfId="1" applyFont="1" applyFill="1" applyBorder="1" applyAlignment="1">
      <alignment horizontal="center"/>
    </xf>
    <xf numFmtId="166" fontId="8" fillId="3" borderId="10" xfId="0" applyNumberFormat="1" applyFont="1" applyFill="1" applyBorder="1" applyAlignment="1">
      <alignment horizontal="center"/>
    </xf>
    <xf numFmtId="164" fontId="8" fillId="3" borderId="0" xfId="1" applyNumberFormat="1" applyFont="1" applyFill="1" applyBorder="1" applyProtection="1">
      <protection locked="0"/>
    </xf>
    <xf numFmtId="0" fontId="4" fillId="0" borderId="0" xfId="0" applyFont="1" applyAlignment="1">
      <alignment horizontal="center"/>
    </xf>
    <xf numFmtId="0" fontId="4" fillId="2" borderId="9" xfId="0" applyFont="1" applyFill="1" applyBorder="1" applyAlignment="1">
      <alignment horizontal="center"/>
    </xf>
    <xf numFmtId="0" fontId="0" fillId="3" borderId="4" xfId="0" applyFill="1" applyBorder="1" applyAlignment="1">
      <alignment horizontal="right"/>
    </xf>
    <xf numFmtId="0" fontId="0" fillId="3" borderId="5" xfId="0" applyFill="1" applyBorder="1"/>
    <xf numFmtId="0" fontId="4" fillId="2" borderId="15" xfId="0" applyFont="1" applyFill="1" applyBorder="1" applyAlignment="1">
      <alignment horizontal="center"/>
    </xf>
    <xf numFmtId="0" fontId="9" fillId="2" borderId="8" xfId="0" applyFont="1" applyFill="1" applyBorder="1" applyAlignment="1">
      <alignment horizontal="center"/>
    </xf>
    <xf numFmtId="0" fontId="4" fillId="2" borderId="14" xfId="0" applyFont="1" applyFill="1" applyBorder="1" applyAlignment="1">
      <alignment horizontal="center"/>
    </xf>
    <xf numFmtId="0" fontId="7" fillId="2" borderId="8" xfId="0" applyFont="1" applyFill="1" applyBorder="1" applyAlignment="1">
      <alignment horizontal="center"/>
    </xf>
    <xf numFmtId="0" fontId="7" fillId="3" borderId="0" xfId="0" applyFont="1" applyFill="1" applyAlignment="1">
      <alignment horizontal="left"/>
    </xf>
    <xf numFmtId="3" fontId="0" fillId="3" borderId="0" xfId="0" applyNumberFormat="1" applyFill="1"/>
    <xf numFmtId="3" fontId="2" fillId="6" borderId="10" xfId="0" applyNumberFormat="1" applyFont="1" applyFill="1" applyBorder="1"/>
    <xf numFmtId="0" fontId="2" fillId="3" borderId="0" xfId="0" applyFont="1" applyFill="1"/>
    <xf numFmtId="165" fontId="2" fillId="6" borderId="10" xfId="0" applyNumberFormat="1" applyFont="1" applyFill="1" applyBorder="1"/>
    <xf numFmtId="0" fontId="12" fillId="3" borderId="8" xfId="0" applyFont="1" applyFill="1" applyBorder="1" applyAlignment="1">
      <alignment horizontal="left"/>
    </xf>
    <xf numFmtId="165" fontId="0" fillId="3" borderId="0" xfId="0" applyNumberFormat="1" applyFill="1"/>
    <xf numFmtId="0" fontId="4" fillId="2" borderId="13" xfId="0" applyFont="1" applyFill="1" applyBorder="1" applyAlignment="1">
      <alignment horizontal="center"/>
    </xf>
    <xf numFmtId="166" fontId="12" fillId="3" borderId="0" xfId="0" applyNumberFormat="1" applyFont="1" applyFill="1"/>
    <xf numFmtId="9" fontId="12" fillId="3" borderId="0" xfId="0" applyNumberFormat="1" applyFont="1" applyFill="1"/>
    <xf numFmtId="0" fontId="12" fillId="3" borderId="0" xfId="0" applyFont="1" applyFill="1" applyAlignment="1">
      <alignment horizontal="left"/>
    </xf>
    <xf numFmtId="0" fontId="0" fillId="3" borderId="11" xfId="0" applyFill="1" applyBorder="1" applyAlignment="1">
      <alignment horizontal="right"/>
    </xf>
    <xf numFmtId="0" fontId="10" fillId="0" borderId="2" xfId="0" applyFont="1" applyBorder="1"/>
    <xf numFmtId="0" fontId="0" fillId="3" borderId="6" xfId="0" applyFill="1" applyBorder="1"/>
    <xf numFmtId="0" fontId="0" fillId="0" borderId="0" xfId="0" applyAlignment="1">
      <alignment horizontal="right"/>
    </xf>
    <xf numFmtId="0" fontId="2" fillId="3" borderId="8" xfId="0" applyFont="1" applyFill="1" applyBorder="1"/>
    <xf numFmtId="3" fontId="8" fillId="4" borderId="10" xfId="1" applyNumberFormat="1" applyFont="1" applyFill="1" applyBorder="1" applyProtection="1">
      <protection locked="0"/>
    </xf>
    <xf numFmtId="3" fontId="5" fillId="2" borderId="10" xfId="0" applyNumberFormat="1" applyFont="1" applyFill="1" applyBorder="1"/>
    <xf numFmtId="0" fontId="2" fillId="0" borderId="0" xfId="0" applyFont="1" applyAlignment="1">
      <alignment wrapText="1"/>
    </xf>
    <xf numFmtId="0" fontId="0" fillId="0" borderId="0" xfId="0" applyAlignment="1">
      <alignment wrapText="1"/>
    </xf>
    <xf numFmtId="0" fontId="2" fillId="0" borderId="0" xfId="0" applyFont="1"/>
    <xf numFmtId="0" fontId="0" fillId="0" borderId="0" xfId="0" applyAlignment="1">
      <alignment horizontal="left" vertical="top" wrapText="1"/>
    </xf>
    <xf numFmtId="0" fontId="2" fillId="3" borderId="7" xfId="0" applyFont="1" applyFill="1" applyBorder="1" applyAlignment="1">
      <alignment horizontal="right" vertical="top"/>
    </xf>
    <xf numFmtId="0" fontId="6" fillId="0" borderId="0" xfId="0" applyFont="1" applyAlignment="1">
      <alignment horizontal="left" vertical="top" wrapText="1"/>
    </xf>
    <xf numFmtId="3" fontId="0" fillId="0" borderId="0" xfId="0" applyNumberFormat="1"/>
    <xf numFmtId="0" fontId="0" fillId="0" borderId="0" xfId="0" applyAlignment="1">
      <alignment vertical="center"/>
    </xf>
    <xf numFmtId="4" fontId="8" fillId="3" borderId="10" xfId="1" applyNumberFormat="1" applyFont="1" applyFill="1" applyBorder="1" applyAlignment="1">
      <alignment horizontal="center"/>
    </xf>
    <xf numFmtId="0" fontId="8" fillId="3" borderId="12" xfId="0" applyFont="1" applyFill="1" applyBorder="1" applyAlignment="1">
      <alignment horizontal="center"/>
    </xf>
    <xf numFmtId="0" fontId="6" fillId="3" borderId="13" xfId="0" applyFont="1" applyFill="1" applyBorder="1" applyAlignment="1">
      <alignment horizontal="left"/>
    </xf>
    <xf numFmtId="0" fontId="8" fillId="0" borderId="0" xfId="0" applyFont="1" applyAlignment="1">
      <alignment horizontal="center"/>
    </xf>
    <xf numFmtId="0" fontId="6" fillId="0" borderId="5" xfId="0" applyFont="1" applyBorder="1" applyAlignment="1">
      <alignment horizontal="left"/>
    </xf>
    <xf numFmtId="3" fontId="2" fillId="3" borderId="12" xfId="0" applyNumberFormat="1" applyFont="1" applyFill="1" applyBorder="1"/>
    <xf numFmtId="0" fontId="2" fillId="3" borderId="13" xfId="0" applyFont="1" applyFill="1" applyBorder="1"/>
    <xf numFmtId="165" fontId="0" fillId="0" borderId="0" xfId="0" applyNumberFormat="1"/>
    <xf numFmtId="0" fontId="0" fillId="0" borderId="7" xfId="0" applyBorder="1"/>
    <xf numFmtId="0" fontId="13" fillId="0" borderId="0" xfId="0" applyFont="1"/>
    <xf numFmtId="0" fontId="2" fillId="3" borderId="11" xfId="0" applyFont="1" applyFill="1" applyBorder="1" applyAlignment="1">
      <alignment horizontal="right"/>
    </xf>
    <xf numFmtId="164" fontId="8" fillId="3" borderId="12" xfId="1" applyNumberFormat="1" applyFont="1" applyFill="1" applyBorder="1" applyProtection="1">
      <protection locked="0"/>
    </xf>
    <xf numFmtId="0" fontId="5" fillId="3" borderId="13" xfId="0" applyFont="1" applyFill="1" applyBorder="1" applyAlignment="1">
      <alignment horizontal="left"/>
    </xf>
    <xf numFmtId="164" fontId="8" fillId="0" borderId="0" xfId="1" applyNumberFormat="1" applyFont="1" applyFill="1" applyBorder="1" applyProtection="1">
      <protection locked="0"/>
    </xf>
    <xf numFmtId="0" fontId="2" fillId="0" borderId="0" xfId="0" applyFont="1" applyAlignment="1">
      <alignment horizontal="right"/>
    </xf>
    <xf numFmtId="0" fontId="5" fillId="0" borderId="5" xfId="0" applyFont="1" applyBorder="1" applyAlignment="1">
      <alignment horizontal="left"/>
    </xf>
    <xf numFmtId="165" fontId="2" fillId="3" borderId="0" xfId="0" applyNumberFormat="1" applyFont="1" applyFill="1"/>
    <xf numFmtId="4" fontId="8" fillId="3" borderId="0" xfId="1" applyNumberFormat="1" applyFont="1" applyFill="1" applyBorder="1" applyAlignment="1">
      <alignment horizontal="center"/>
    </xf>
    <xf numFmtId="3" fontId="0" fillId="0" borderId="0" xfId="0" applyNumberFormat="1" applyAlignment="1">
      <alignment horizontal="right"/>
    </xf>
    <xf numFmtId="0" fontId="2" fillId="3" borderId="7" xfId="0" applyFont="1" applyFill="1" applyBorder="1" applyAlignment="1">
      <alignment horizontal="right" vertical="center"/>
    </xf>
    <xf numFmtId="0" fontId="2" fillId="3" borderId="17" xfId="0" applyFont="1" applyFill="1" applyBorder="1" applyAlignment="1">
      <alignment horizontal="right"/>
    </xf>
    <xf numFmtId="167" fontId="12" fillId="3" borderId="0" xfId="1" applyNumberFormat="1" applyFont="1" applyFill="1" applyBorder="1" applyAlignment="1" applyProtection="1">
      <alignment horizontal="right"/>
    </xf>
    <xf numFmtId="167" fontId="15" fillId="3" borderId="0" xfId="1" applyNumberFormat="1" applyFont="1" applyFill="1" applyBorder="1" applyAlignment="1" applyProtection="1">
      <alignment horizontal="right"/>
    </xf>
    <xf numFmtId="0" fontId="4" fillId="3" borderId="0" xfId="0" applyFont="1" applyFill="1" applyAlignment="1">
      <alignment horizontal="left"/>
    </xf>
    <xf numFmtId="0" fontId="0" fillId="3" borderId="0" xfId="0" applyFill="1" applyAlignment="1">
      <alignment horizontal="left"/>
    </xf>
    <xf numFmtId="0" fontId="5" fillId="3" borderId="0" xfId="0" applyFont="1" applyFill="1" applyAlignment="1">
      <alignment horizontal="left"/>
    </xf>
    <xf numFmtId="0" fontId="5" fillId="3" borderId="0" xfId="0" applyFont="1" applyFill="1" applyAlignment="1">
      <alignment horizontal="left" vertical="center"/>
    </xf>
    <xf numFmtId="0" fontId="9" fillId="3" borderId="0" xfId="0" applyFont="1" applyFill="1" applyAlignment="1">
      <alignment horizontal="left"/>
    </xf>
    <xf numFmtId="0" fontId="4" fillId="2" borderId="18" xfId="0" applyFont="1" applyFill="1" applyBorder="1" applyAlignment="1">
      <alignment horizontal="center"/>
    </xf>
    <xf numFmtId="0" fontId="7" fillId="2" borderId="14" xfId="0" applyFont="1" applyFill="1" applyBorder="1" applyAlignment="1">
      <alignment horizontal="center"/>
    </xf>
    <xf numFmtId="3" fontId="5" fillId="2" borderId="10" xfId="0" applyNumberFormat="1" applyFont="1" applyFill="1" applyBorder="1" applyAlignment="1">
      <alignment horizontal="right"/>
    </xf>
    <xf numFmtId="3" fontId="6" fillId="3" borderId="0" xfId="0" applyNumberFormat="1" applyFont="1" applyFill="1" applyAlignment="1">
      <alignment horizontal="right"/>
    </xf>
    <xf numFmtId="3" fontId="5" fillId="3" borderId="0" xfId="0" applyNumberFormat="1" applyFont="1" applyFill="1" applyAlignment="1">
      <alignment horizontal="right"/>
    </xf>
    <xf numFmtId="9" fontId="5" fillId="2" borderId="10" xfId="1" applyFont="1" applyFill="1" applyBorder="1" applyAlignment="1" applyProtection="1">
      <alignment horizontal="right"/>
    </xf>
    <xf numFmtId="9" fontId="5" fillId="2" borderId="10" xfId="1" applyFont="1" applyFill="1" applyBorder="1" applyAlignment="1" applyProtection="1">
      <alignment horizontal="right" vertical="center"/>
    </xf>
    <xf numFmtId="9" fontId="5" fillId="2" borderId="16" xfId="1" applyFont="1" applyFill="1" applyBorder="1" applyAlignment="1" applyProtection="1">
      <alignment horizontal="right"/>
    </xf>
    <xf numFmtId="9" fontId="5" fillId="3" borderId="0" xfId="1" applyFont="1" applyFill="1" applyBorder="1" applyAlignment="1" applyProtection="1">
      <alignment horizontal="right"/>
    </xf>
    <xf numFmtId="3" fontId="6" fillId="3" borderId="0" xfId="1" applyNumberFormat="1" applyFont="1" applyFill="1" applyBorder="1" applyAlignment="1" applyProtection="1">
      <alignment horizontal="right"/>
    </xf>
    <xf numFmtId="3" fontId="14" fillId="3" borderId="0" xfId="1" applyNumberFormat="1" applyFont="1" applyFill="1" applyBorder="1" applyAlignment="1" applyProtection="1">
      <alignment horizontal="right"/>
    </xf>
    <xf numFmtId="167" fontId="6" fillId="3" borderId="0" xfId="1" applyNumberFormat="1" applyFont="1" applyFill="1" applyBorder="1" applyAlignment="1" applyProtection="1">
      <alignment horizontal="right"/>
    </xf>
    <xf numFmtId="3" fontId="0" fillId="3" borderId="0" xfId="0" applyNumberFormat="1" applyFill="1" applyAlignment="1">
      <alignment horizontal="right"/>
    </xf>
    <xf numFmtId="3" fontId="5" fillId="3" borderId="0" xfId="1" applyNumberFormat="1" applyFont="1" applyFill="1" applyBorder="1" applyAlignment="1" applyProtection="1">
      <alignment horizontal="right"/>
    </xf>
    <xf numFmtId="3" fontId="5" fillId="3" borderId="9" xfId="1" applyNumberFormat="1" applyFont="1" applyFill="1" applyBorder="1" applyAlignment="1" applyProtection="1">
      <alignment horizontal="right"/>
    </xf>
    <xf numFmtId="3" fontId="7" fillId="2" borderId="14" xfId="0" applyNumberFormat="1" applyFont="1" applyFill="1" applyBorder="1" applyAlignment="1">
      <alignment horizontal="center"/>
    </xf>
    <xf numFmtId="4" fontId="6" fillId="3" borderId="0" xfId="1" applyNumberFormat="1" applyFont="1" applyFill="1" applyBorder="1" applyAlignment="1" applyProtection="1">
      <alignment horizontal="right"/>
    </xf>
    <xf numFmtId="4" fontId="0" fillId="3" borderId="0" xfId="0" applyNumberFormat="1" applyFill="1"/>
    <xf numFmtId="3" fontId="6" fillId="3" borderId="0" xfId="0" applyNumberFormat="1" applyFont="1" applyFill="1"/>
    <xf numFmtId="167" fontId="0" fillId="3" borderId="0" xfId="0" applyNumberFormat="1" applyFill="1"/>
    <xf numFmtId="4" fontId="6" fillId="3" borderId="0" xfId="0" applyNumberFormat="1" applyFont="1" applyFill="1" applyAlignment="1">
      <alignment horizontal="right"/>
    </xf>
    <xf numFmtId="165" fontId="0" fillId="3" borderId="9" xfId="0" applyNumberFormat="1" applyFill="1" applyBorder="1"/>
    <xf numFmtId="0" fontId="4" fillId="3" borderId="8" xfId="0" applyFont="1" applyFill="1" applyBorder="1"/>
    <xf numFmtId="0" fontId="9" fillId="3" borderId="8" xfId="0" applyFont="1" applyFill="1" applyBorder="1"/>
    <xf numFmtId="165" fontId="0" fillId="3" borderId="17" xfId="0" applyNumberFormat="1" applyFill="1" applyBorder="1"/>
    <xf numFmtId="165" fontId="4" fillId="3" borderId="0" xfId="0" applyNumberFormat="1" applyFont="1" applyFill="1"/>
    <xf numFmtId="4" fontId="2" fillId="7" borderId="10" xfId="0" applyNumberFormat="1" applyFont="1" applyFill="1" applyBorder="1"/>
    <xf numFmtId="4" fontId="4" fillId="3" borderId="0" xfId="0" applyNumberFormat="1" applyFont="1" applyFill="1"/>
    <xf numFmtId="4" fontId="9" fillId="3" borderId="0" xfId="0" applyNumberFormat="1" applyFont="1" applyFill="1"/>
    <xf numFmtId="166" fontId="0" fillId="0" borderId="0" xfId="0" applyNumberFormat="1"/>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0" fillId="0" borderId="0" xfId="0" applyAlignment="1">
      <alignment horizontal="left" wrapText="1"/>
    </xf>
    <xf numFmtId="0" fontId="10" fillId="5" borderId="4" xfId="0" applyFont="1" applyFill="1" applyBorder="1" applyAlignment="1">
      <alignment horizontal="center" wrapText="1"/>
    </xf>
    <xf numFmtId="0" fontId="10" fillId="5" borderId="5" xfId="0" applyFont="1" applyFill="1" applyBorder="1" applyAlignment="1">
      <alignment horizontal="center" wrapText="1"/>
    </xf>
    <xf numFmtId="0" fontId="10" fillId="5" borderId="6" xfId="0" applyFont="1" applyFill="1" applyBorder="1" applyAlignment="1">
      <alignment horizontal="center" wrapText="1"/>
    </xf>
    <xf numFmtId="0" fontId="10" fillId="5" borderId="11" xfId="0" applyFont="1" applyFill="1" applyBorder="1" applyAlignment="1">
      <alignment horizontal="center" wrapText="1"/>
    </xf>
    <xf numFmtId="0" fontId="10" fillId="5" borderId="12" xfId="0" applyFont="1" applyFill="1" applyBorder="1" applyAlignment="1">
      <alignment horizontal="center" wrapText="1"/>
    </xf>
    <xf numFmtId="0" fontId="10" fillId="5" borderId="13" xfId="0" applyFont="1" applyFill="1" applyBorder="1" applyAlignment="1">
      <alignment horizontal="center" wrapText="1"/>
    </xf>
    <xf numFmtId="0" fontId="10" fillId="5" borderId="1" xfId="0" applyFont="1" applyFill="1" applyBorder="1" applyAlignment="1">
      <alignment horizontal="center"/>
    </xf>
    <xf numFmtId="0" fontId="10" fillId="5" borderId="2" xfId="0" applyFont="1" applyFill="1" applyBorder="1" applyAlignment="1">
      <alignment horizontal="center"/>
    </xf>
    <xf numFmtId="0" fontId="10" fillId="5" borderId="3" xfId="0" applyFont="1" applyFill="1" applyBorder="1" applyAlignment="1">
      <alignment horizontal="center"/>
    </xf>
    <xf numFmtId="0" fontId="2" fillId="2" borderId="11" xfId="0" applyFont="1" applyFill="1" applyBorder="1" applyAlignment="1">
      <alignment horizontal="center"/>
    </xf>
    <xf numFmtId="0" fontId="2" fillId="2" borderId="12" xfId="0" applyFont="1" applyFill="1" applyBorder="1" applyAlignment="1">
      <alignment horizontal="center"/>
    </xf>
    <xf numFmtId="0" fontId="2" fillId="2" borderId="13" xfId="0" applyFont="1" applyFill="1" applyBorder="1" applyAlignment="1">
      <alignment horizontal="center"/>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10" fillId="5" borderId="1" xfId="0" applyFont="1" applyFill="1" applyBorder="1" applyAlignment="1">
      <alignment horizontal="center" vertical="center"/>
    </xf>
    <xf numFmtId="0" fontId="10" fillId="5" borderId="2" xfId="0" applyFont="1" applyFill="1" applyBorder="1" applyAlignment="1">
      <alignment horizontal="center" vertical="center"/>
    </xf>
    <xf numFmtId="0" fontId="10" fillId="5" borderId="3" xfId="0" applyFont="1" applyFill="1" applyBorder="1" applyAlignment="1">
      <alignment horizontal="center" vertical="center"/>
    </xf>
    <xf numFmtId="0" fontId="2" fillId="3" borderId="11" xfId="0" applyFont="1" applyFill="1" applyBorder="1" applyAlignment="1">
      <alignment horizontal="center"/>
    </xf>
    <xf numFmtId="0" fontId="2" fillId="3" borderId="12" xfId="0" applyFont="1" applyFill="1" applyBorder="1" applyAlignment="1">
      <alignment horizontal="center"/>
    </xf>
    <xf numFmtId="0" fontId="2" fillId="3" borderId="13" xfId="0" applyFont="1" applyFill="1" applyBorder="1" applyAlignment="1">
      <alignment horizont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50E302-E66C-4BC9-8326-AA4A8BE57089}">
  <dimension ref="A1:A35"/>
  <sheetViews>
    <sheetView workbookViewId="0">
      <selection activeCell="A5" sqref="A5"/>
    </sheetView>
  </sheetViews>
  <sheetFormatPr defaultRowHeight="14.5" x14ac:dyDescent="0.35"/>
  <cols>
    <col min="1" max="1" width="120.54296875" customWidth="1"/>
  </cols>
  <sheetData>
    <row r="1" spans="1:1" x14ac:dyDescent="0.35">
      <c r="A1" s="52" t="s">
        <v>0</v>
      </c>
    </row>
    <row r="2" spans="1:1" x14ac:dyDescent="0.35">
      <c r="A2" s="52" t="s">
        <v>130</v>
      </c>
    </row>
    <row r="4" spans="1:1" x14ac:dyDescent="0.35">
      <c r="A4" s="52" t="s">
        <v>1</v>
      </c>
    </row>
    <row r="5" spans="1:1" ht="30" customHeight="1" x14ac:dyDescent="0.35">
      <c r="A5" s="53" t="s">
        <v>2</v>
      </c>
    </row>
    <row r="6" spans="1:1" ht="29" x14ac:dyDescent="0.35">
      <c r="A6" s="53" t="s">
        <v>3</v>
      </c>
    </row>
    <row r="7" spans="1:1" ht="29" x14ac:dyDescent="0.35">
      <c r="A7" s="53" t="s">
        <v>4</v>
      </c>
    </row>
    <row r="8" spans="1:1" ht="29" x14ac:dyDescent="0.35">
      <c r="A8" s="53" t="s">
        <v>5</v>
      </c>
    </row>
    <row r="9" spans="1:1" ht="34.5" customHeight="1" x14ac:dyDescent="0.35">
      <c r="A9" s="53" t="str">
        <f>"The City is proposing a two-level density bonus program in which the community benefit requirements to achieve density up to a "&amp;TEXT('City Assumptions'!C4,"#")&amp;".0 FAR (Level 1) will differ from those required to achieve additional density above the "&amp;TEXT('City Assumptions'!C4,"#")&amp;".0 FAR threshold (Level 2)."</f>
        <v>The City is proposing a two-level density bonus program in which the community benefit requirements to achieve density up to a 3.0 FAR (Level 1) will differ from those required to achieve additional density above the 3.0 FAR threshold (Level 2).</v>
      </c>
    </row>
    <row r="10" spans="1:1" ht="43.5" x14ac:dyDescent="0.35">
      <c r="A10" s="53" t="str">
        <f>"Specifically, for Level 1 density bonus up to a "&amp;TEXT('City Assumptions'!C4,"#")&amp;".0 FAR, a property seeking to increase its existing FAR allowance and provide rental housing must provide affordable units on-site  AND pay an in-lieu fee for any commercial or for-sale residential component of the project that exceeds base zoning."</f>
        <v>Specifically, for Level 1 density bonus up to a 3.0 FAR, a property seeking to increase its existing FAR allowance and provide rental housing must provide affordable units on-site  AND pay an in-lieu fee for any commercial or for-sale residential component of the project that exceeds base zoning.</v>
      </c>
    </row>
    <row r="11" spans="1:1" ht="43.5" x14ac:dyDescent="0.35">
      <c r="A11" s="53" t="str">
        <f>"For Level 2 density bonus above the "&amp;TEXT('City Assumptions'!C4,"#")&amp;".0 FAR max subject to the Level 1 requirements, the project will be required to provide community benefits based on a fee structure that reflects similar fee levels under the Downtown Density Bonus and Rainey Street District Density Bonus programs."</f>
        <v>For Level 2 density bonus above the 3.0 FAR max subject to the Level 1 requirements, the project will be required to provide community benefits based on a fee structure that reflects similar fee levels under the Downtown Density Bonus and Rainey Street District Density Bonus programs.</v>
      </c>
    </row>
    <row r="12" spans="1:1" ht="43.5" x14ac:dyDescent="0.35">
      <c r="A12" s="55" t="s">
        <v>36</v>
      </c>
    </row>
    <row r="13" spans="1:1" ht="29" x14ac:dyDescent="0.35">
      <c r="A13" s="55" t="s">
        <v>37</v>
      </c>
    </row>
    <row r="14" spans="1:1" ht="29" x14ac:dyDescent="0.35">
      <c r="A14" s="53" t="s">
        <v>131</v>
      </c>
    </row>
    <row r="15" spans="1:1" ht="43.5" x14ac:dyDescent="0.35">
      <c r="A15" s="53" t="s">
        <v>6</v>
      </c>
    </row>
    <row r="18" spans="1:1" x14ac:dyDescent="0.35">
      <c r="A18" s="50"/>
    </row>
    <row r="19" spans="1:1" x14ac:dyDescent="0.35">
      <c r="A19" s="51"/>
    </row>
    <row r="20" spans="1:1" x14ac:dyDescent="0.35">
      <c r="A20" s="51"/>
    </row>
    <row r="21" spans="1:1" x14ac:dyDescent="0.35">
      <c r="A21" s="51"/>
    </row>
    <row r="22" spans="1:1" x14ac:dyDescent="0.35">
      <c r="A22" s="51"/>
    </row>
    <row r="23" spans="1:1" x14ac:dyDescent="0.35">
      <c r="A23" s="51"/>
    </row>
    <row r="24" spans="1:1" x14ac:dyDescent="0.35">
      <c r="A24" s="51"/>
    </row>
    <row r="25" spans="1:1" x14ac:dyDescent="0.35">
      <c r="A25" s="51"/>
    </row>
    <row r="26" spans="1:1" x14ac:dyDescent="0.35">
      <c r="A26" s="51"/>
    </row>
    <row r="27" spans="1:1" x14ac:dyDescent="0.35">
      <c r="A27" s="51"/>
    </row>
    <row r="28" spans="1:1" x14ac:dyDescent="0.35">
      <c r="A28" s="51"/>
    </row>
    <row r="29" spans="1:1" x14ac:dyDescent="0.35">
      <c r="A29" s="51"/>
    </row>
    <row r="30" spans="1:1" x14ac:dyDescent="0.35">
      <c r="A30" s="51"/>
    </row>
    <row r="31" spans="1:1" x14ac:dyDescent="0.35">
      <c r="A31" s="51"/>
    </row>
    <row r="32" spans="1:1" x14ac:dyDescent="0.35">
      <c r="A32" s="51"/>
    </row>
    <row r="33" spans="1:1" x14ac:dyDescent="0.35">
      <c r="A33" s="51"/>
    </row>
    <row r="34" spans="1:1" x14ac:dyDescent="0.35">
      <c r="A34" s="51"/>
    </row>
    <row r="35" spans="1:1" x14ac:dyDescent="0.35">
      <c r="A35" s="51"/>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8BBD5D-2D55-43EA-9EC1-528A210CBE1B}">
  <dimension ref="B1:L37"/>
  <sheetViews>
    <sheetView tabSelected="1" topLeftCell="A8" workbookViewId="0">
      <selection activeCell="G27" sqref="G27"/>
    </sheetView>
  </sheetViews>
  <sheetFormatPr defaultRowHeight="14.5" x14ac:dyDescent="0.35"/>
  <cols>
    <col min="2" max="2" width="45.1796875" bestFit="1" customWidth="1"/>
    <col min="4" max="4" width="15.453125" bestFit="1" customWidth="1"/>
    <col min="6" max="6" width="1.7265625" customWidth="1"/>
    <col min="7" max="7" width="12.7265625" customWidth="1"/>
    <col min="8" max="8" width="48.453125" bestFit="1" customWidth="1"/>
  </cols>
  <sheetData>
    <row r="1" spans="2:8" x14ac:dyDescent="0.35">
      <c r="B1" s="50" t="s">
        <v>7</v>
      </c>
    </row>
    <row r="3" spans="2:8" ht="30" customHeight="1" x14ac:dyDescent="0.35">
      <c r="B3" s="119" t="s">
        <v>87</v>
      </c>
      <c r="C3" s="119"/>
      <c r="D3" s="119"/>
      <c r="E3" s="119"/>
      <c r="F3" s="119"/>
      <c r="G3" s="119"/>
      <c r="H3" s="119"/>
    </row>
    <row r="4" spans="2:8" x14ac:dyDescent="0.35">
      <c r="B4" s="119" t="s">
        <v>88</v>
      </c>
      <c r="C4" s="119"/>
      <c r="D4" s="119"/>
      <c r="E4" s="119"/>
      <c r="F4" s="119"/>
      <c r="G4" s="119"/>
      <c r="H4" s="119"/>
    </row>
    <row r="5" spans="2:8" ht="29.25" customHeight="1" x14ac:dyDescent="0.35">
      <c r="B5" s="119" t="s">
        <v>8</v>
      </c>
      <c r="C5" s="119"/>
      <c r="D5" s="119"/>
      <c r="E5" s="119"/>
      <c r="F5" s="119"/>
      <c r="G5" s="119"/>
      <c r="H5" s="119"/>
    </row>
    <row r="9" spans="2:8" ht="18.5" x14ac:dyDescent="0.45">
      <c r="B9" s="126" t="s">
        <v>9</v>
      </c>
      <c r="C9" s="127"/>
      <c r="D9" s="128"/>
      <c r="F9" s="120" t="s">
        <v>10</v>
      </c>
      <c r="G9" s="121"/>
      <c r="H9" s="122"/>
    </row>
    <row r="10" spans="2:8" ht="18.75" customHeight="1" x14ac:dyDescent="0.35">
      <c r="B10" s="129" t="s">
        <v>11</v>
      </c>
      <c r="C10" s="130"/>
      <c r="D10" s="131"/>
      <c r="F10" s="123"/>
      <c r="G10" s="124"/>
      <c r="H10" s="125"/>
    </row>
    <row r="11" spans="2:8" ht="15" thickBot="1" x14ac:dyDescent="0.4">
      <c r="B11" s="3"/>
      <c r="C11" s="16"/>
      <c r="D11" s="4"/>
      <c r="F11" s="3"/>
      <c r="G11" s="38"/>
      <c r="H11" s="47"/>
    </row>
    <row r="12" spans="2:8" ht="15" thickBot="1" x14ac:dyDescent="0.4">
      <c r="B12" s="5" t="s">
        <v>12</v>
      </c>
      <c r="C12" s="13">
        <v>35470</v>
      </c>
      <c r="D12" s="10"/>
      <c r="F12" s="3"/>
      <c r="G12" s="113">
        <f>'Density Tool'!C14</f>
        <v>24.42715995591665</v>
      </c>
      <c r="H12" s="108" t="s">
        <v>135</v>
      </c>
    </row>
    <row r="13" spans="2:8" ht="15" thickBot="1" x14ac:dyDescent="0.4">
      <c r="B13" s="5"/>
      <c r="C13" s="23"/>
      <c r="D13" s="10"/>
      <c r="F13" s="3"/>
      <c r="G13" s="114">
        <f>'Density Tool'!C31</f>
        <v>0.98793103448275854</v>
      </c>
      <c r="H13" s="109" t="s">
        <v>42</v>
      </c>
    </row>
    <row r="14" spans="2:8" ht="15" thickBot="1" x14ac:dyDescent="0.4">
      <c r="B14" s="116" t="s">
        <v>14</v>
      </c>
      <c r="C14" s="117"/>
      <c r="D14" s="118"/>
      <c r="F14" s="3"/>
      <c r="G14" s="112">
        <f>'Density Tool'!C38</f>
        <v>23.439228921433894</v>
      </c>
      <c r="H14" s="47" t="s">
        <v>134</v>
      </c>
    </row>
    <row r="15" spans="2:8" ht="15" thickBot="1" x14ac:dyDescent="0.4">
      <c r="B15" s="5"/>
      <c r="C15" s="23"/>
      <c r="D15" s="10"/>
      <c r="F15" s="3"/>
      <c r="G15" s="110"/>
      <c r="H15" s="47"/>
    </row>
    <row r="16" spans="2:8" ht="15" thickBot="1" x14ac:dyDescent="0.4">
      <c r="B16" s="5" t="s">
        <v>39</v>
      </c>
      <c r="C16" s="48">
        <v>522000</v>
      </c>
      <c r="D16" s="10"/>
      <c r="F16" s="3"/>
      <c r="G16" s="36">
        <f>'Density Tool'!$M$15*'City Assumptions'!C12</f>
        <v>1502386.8114895562</v>
      </c>
      <c r="H16" s="47" t="s">
        <v>43</v>
      </c>
    </row>
    <row r="17" spans="2:12" ht="15" thickBot="1" x14ac:dyDescent="0.4">
      <c r="B17" s="5" t="s">
        <v>132</v>
      </c>
      <c r="C17" s="48">
        <v>344431.36363636365</v>
      </c>
      <c r="D17" s="10"/>
      <c r="F17" s="3"/>
      <c r="G17" s="36">
        <f>'Density Tool'!$M$15*'City Assumptions'!C13</f>
        <v>1502386.8114895562</v>
      </c>
      <c r="H17" s="47" t="s">
        <v>61</v>
      </c>
    </row>
    <row r="18" spans="2:12" ht="15" thickBot="1" x14ac:dyDescent="0.4">
      <c r="B18" s="5"/>
      <c r="C18" s="78"/>
      <c r="D18" s="10"/>
      <c r="F18" s="3"/>
      <c r="G18" s="36">
        <f>'Density Tool'!$M$15*'City Assumptions'!C14</f>
        <v>1502386.8114895562</v>
      </c>
      <c r="H18" s="47" t="s">
        <v>44</v>
      </c>
    </row>
    <row r="19" spans="2:12" ht="15" thickBot="1" x14ac:dyDescent="0.4">
      <c r="B19" s="5" t="s">
        <v>57</v>
      </c>
      <c r="C19" s="14">
        <v>0.92911877394636011</v>
      </c>
      <c r="D19" s="10"/>
      <c r="F19" s="3"/>
      <c r="G19" s="74">
        <f>SUM(G16:G18)</f>
        <v>4507160.4344686689</v>
      </c>
      <c r="H19" s="47" t="s">
        <v>141</v>
      </c>
    </row>
    <row r="20" spans="2:12" ht="15" thickBot="1" x14ac:dyDescent="0.4">
      <c r="B20" s="5" t="s">
        <v>58</v>
      </c>
      <c r="C20" s="14">
        <v>0</v>
      </c>
      <c r="D20" s="10"/>
      <c r="F20" s="3"/>
      <c r="G20" s="38"/>
      <c r="H20" s="47"/>
    </row>
    <row r="21" spans="2:12" ht="15" thickBot="1" x14ac:dyDescent="0.4">
      <c r="B21" s="5" t="s">
        <v>59</v>
      </c>
      <c r="C21" s="14">
        <v>5.7471264367816091E-2</v>
      </c>
      <c r="D21" s="10"/>
      <c r="F21" s="3"/>
      <c r="G21" s="34">
        <f>'Density Tool'!M5</f>
        <v>4</v>
      </c>
      <c r="H21" s="47" t="s">
        <v>86</v>
      </c>
      <c r="L21" s="56"/>
    </row>
    <row r="22" spans="2:12" ht="15" thickBot="1" x14ac:dyDescent="0.4">
      <c r="B22" s="5" t="s">
        <v>60</v>
      </c>
      <c r="C22" s="14">
        <v>1.3409961685823755E-2</v>
      </c>
      <c r="D22" s="10"/>
      <c r="F22" s="3"/>
      <c r="G22" s="38"/>
      <c r="H22" s="47"/>
    </row>
    <row r="23" spans="2:12" ht="15" thickBot="1" x14ac:dyDescent="0.4">
      <c r="B23" s="5"/>
      <c r="C23" s="23"/>
      <c r="D23" s="10"/>
      <c r="F23" s="3"/>
      <c r="G23" s="111"/>
      <c r="H23" s="47"/>
    </row>
    <row r="24" spans="2:12" ht="15" thickBot="1" x14ac:dyDescent="0.4">
      <c r="B24" s="5" t="s">
        <v>41</v>
      </c>
      <c r="C24" s="48">
        <v>485</v>
      </c>
      <c r="D24" s="10"/>
      <c r="F24" s="3"/>
      <c r="G24" s="34">
        <f>'Density Tool'!M12*('Density Tool'!H20+'Density Tool'!H26)</f>
        <v>108746.91747648905</v>
      </c>
      <c r="H24" s="108" t="s">
        <v>133</v>
      </c>
    </row>
    <row r="25" spans="2:12" x14ac:dyDescent="0.35">
      <c r="B25" s="68"/>
      <c r="C25" s="69"/>
      <c r="D25" s="70"/>
      <c r="E25" s="66"/>
      <c r="F25" s="6"/>
      <c r="G25" s="63"/>
      <c r="H25" s="64"/>
    </row>
    <row r="26" spans="2:12" x14ac:dyDescent="0.35">
      <c r="B26" s="72"/>
      <c r="C26" s="71"/>
      <c r="D26" s="73"/>
      <c r="G26" s="65"/>
      <c r="H26" s="52"/>
    </row>
    <row r="27" spans="2:12" x14ac:dyDescent="0.35">
      <c r="B27" s="67"/>
      <c r="C27" s="67"/>
      <c r="D27" s="67"/>
      <c r="G27" s="115"/>
    </row>
    <row r="28" spans="2:12" x14ac:dyDescent="0.35">
      <c r="C28" s="56"/>
      <c r="G28" s="65"/>
      <c r="H28" s="52"/>
    </row>
    <row r="30" spans="2:12" x14ac:dyDescent="0.35">
      <c r="G30" s="115"/>
    </row>
    <row r="31" spans="2:12" x14ac:dyDescent="0.35">
      <c r="G31" s="115"/>
    </row>
    <row r="33" ht="30.75" customHeight="1" x14ac:dyDescent="0.35"/>
    <row r="36" ht="30" customHeight="1" x14ac:dyDescent="0.35"/>
    <row r="37" ht="63" customHeight="1" x14ac:dyDescent="0.35"/>
  </sheetData>
  <mergeCells count="7">
    <mergeCell ref="B14:D14"/>
    <mergeCell ref="B5:H5"/>
    <mergeCell ref="B4:H4"/>
    <mergeCell ref="B3:H3"/>
    <mergeCell ref="F9:H10"/>
    <mergeCell ref="B9:D9"/>
    <mergeCell ref="B10:D10"/>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O45"/>
  <sheetViews>
    <sheetView topLeftCell="B1" zoomScale="91" zoomScaleNormal="110" workbookViewId="0">
      <selection activeCell="H35" sqref="H35"/>
    </sheetView>
  </sheetViews>
  <sheetFormatPr defaultRowHeight="14.5" x14ac:dyDescent="0.35"/>
  <cols>
    <col min="1" max="1" width="1.7265625" customWidth="1"/>
    <col min="2" max="2" width="45.1796875" bestFit="1" customWidth="1"/>
    <col min="3" max="3" width="9.7265625" bestFit="1" customWidth="1"/>
    <col min="4" max="4" width="15.453125" bestFit="1" customWidth="1"/>
    <col min="5" max="5" width="12.453125" style="24" bestFit="1" customWidth="1"/>
    <col min="6" max="6" width="5.26953125" customWidth="1"/>
    <col min="7" max="7" width="65.7265625" style="46" customWidth="1"/>
    <col min="8" max="8" width="11.81640625" bestFit="1" customWidth="1"/>
    <col min="9" max="9" width="28.81640625" bestFit="1" customWidth="1"/>
    <col min="10" max="10" width="13.7265625" customWidth="1"/>
    <col min="11" max="11" width="4.453125" customWidth="1"/>
    <col min="12" max="12" width="2.81640625" customWidth="1"/>
    <col min="13" max="13" width="12.1796875" bestFit="1" customWidth="1"/>
    <col min="14" max="14" width="51.453125" bestFit="1" customWidth="1"/>
    <col min="15" max="15" width="11.26953125" bestFit="1" customWidth="1"/>
  </cols>
  <sheetData>
    <row r="1" spans="2:15" x14ac:dyDescent="0.35">
      <c r="G1"/>
    </row>
    <row r="2" spans="2:15" ht="18.5" x14ac:dyDescent="0.45">
      <c r="B2" s="126" t="s">
        <v>18</v>
      </c>
      <c r="C2" s="127"/>
      <c r="D2" s="127"/>
      <c r="E2" s="128"/>
      <c r="G2" s="126" t="str">
        <f>"Level 1 Density Bonus Community Benefits: Up to "&amp;TEXT('City Assumptions'!$C$4,"##")&amp;":1 FAR"</f>
        <v>Level 1 Density Bonus Community Benefits: Up to 3:1 FAR</v>
      </c>
      <c r="H2" s="127"/>
      <c r="I2" s="127"/>
      <c r="J2" s="128"/>
      <c r="L2" s="126" t="s">
        <v>10</v>
      </c>
      <c r="M2" s="127"/>
      <c r="N2" s="127"/>
      <c r="O2" s="128"/>
    </row>
    <row r="3" spans="2:15" x14ac:dyDescent="0.35">
      <c r="B3" s="138" t="s">
        <v>11</v>
      </c>
      <c r="C3" s="139"/>
      <c r="D3" s="140"/>
      <c r="E3" s="25" t="s">
        <v>19</v>
      </c>
      <c r="G3" s="26"/>
      <c r="H3" s="27"/>
      <c r="I3" s="27"/>
      <c r="J3" s="25" t="s">
        <v>19</v>
      </c>
      <c r="L3" s="3"/>
      <c r="M3" s="16"/>
      <c r="N3" s="16"/>
      <c r="O3" s="25" t="s">
        <v>19</v>
      </c>
    </row>
    <row r="4" spans="2:15" ht="15" thickBot="1" x14ac:dyDescent="0.4">
      <c r="B4" s="1"/>
      <c r="C4" s="15"/>
      <c r="D4" s="2"/>
      <c r="E4" s="29"/>
      <c r="G4" s="9"/>
      <c r="H4" s="16"/>
      <c r="I4" s="16"/>
      <c r="J4" s="30"/>
      <c r="L4" s="3"/>
      <c r="M4" s="16"/>
      <c r="N4" s="16"/>
      <c r="O4" s="30"/>
    </row>
    <row r="5" spans="2:15" ht="15" thickBot="1" x14ac:dyDescent="0.4">
      <c r="B5" s="5" t="s">
        <v>12</v>
      </c>
      <c r="C5" s="49">
        <f>'Instructions and Results'!C12</f>
        <v>35470</v>
      </c>
      <c r="D5" s="10" t="s">
        <v>20</v>
      </c>
      <c r="E5" s="31" t="s">
        <v>21</v>
      </c>
      <c r="G5" s="9" t="s">
        <v>41</v>
      </c>
      <c r="H5" s="88">
        <f>'Instructions and Results'!C24</f>
        <v>485</v>
      </c>
      <c r="I5" s="83" t="s">
        <v>20</v>
      </c>
      <c r="J5" s="30" t="s">
        <v>107</v>
      </c>
      <c r="L5" s="3"/>
      <c r="M5" s="34">
        <f>$H$9</f>
        <v>4</v>
      </c>
      <c r="N5" s="47" t="s">
        <v>66</v>
      </c>
      <c r="O5" s="30" t="s">
        <v>121</v>
      </c>
    </row>
    <row r="6" spans="2:15" x14ac:dyDescent="0.35">
      <c r="B6" s="6"/>
      <c r="C6" s="7"/>
      <c r="D6" s="8"/>
      <c r="E6" s="39"/>
      <c r="G6" s="9" t="s">
        <v>139</v>
      </c>
      <c r="H6" s="103">
        <f>H5/C38</f>
        <v>20.691806954301896</v>
      </c>
      <c r="I6" s="16" t="s">
        <v>77</v>
      </c>
      <c r="J6" s="30" t="s">
        <v>137</v>
      </c>
      <c r="L6" s="3"/>
      <c r="M6" s="16"/>
      <c r="N6" s="16"/>
      <c r="O6" s="30"/>
    </row>
    <row r="7" spans="2:15" x14ac:dyDescent="0.35">
      <c r="G7" s="9" t="s">
        <v>136</v>
      </c>
      <c r="H7" s="104">
        <f>H6*'City Assumptions'!$C$4</f>
        <v>62.075420862905688</v>
      </c>
      <c r="I7" s="32" t="s">
        <v>22</v>
      </c>
      <c r="J7" s="87" t="str">
        <f>"aa = z * "&amp;TEXT('City Assumptions'!C4,"##")</f>
        <v>aa = z * 3</v>
      </c>
      <c r="L7" s="3"/>
      <c r="M7" s="74">
        <f>$H$14</f>
        <v>399011.21223384881</v>
      </c>
      <c r="N7" s="35" t="s">
        <v>13</v>
      </c>
      <c r="O7" s="30" t="s">
        <v>122</v>
      </c>
    </row>
    <row r="8" spans="2:15" ht="19" thickBot="1" x14ac:dyDescent="0.5">
      <c r="B8" s="126" t="s">
        <v>25</v>
      </c>
      <c r="C8" s="127"/>
      <c r="D8" s="127"/>
      <c r="E8" s="128"/>
      <c r="G8" s="9" t="s">
        <v>24</v>
      </c>
      <c r="H8" s="41">
        <f>'City Assumptions'!C21</f>
        <v>0.05</v>
      </c>
      <c r="I8" s="37" t="str">
        <f>"of "&amp;TEXT('City Assumptions'!$C$4,"##")&amp;":1 FAR residential bldg area"</f>
        <v>of 3:1 FAR residential bldg area</v>
      </c>
      <c r="J8" s="30" t="s">
        <v>33</v>
      </c>
      <c r="L8" s="3"/>
      <c r="M8" s="38"/>
      <c r="N8" s="35"/>
      <c r="O8" s="30"/>
    </row>
    <row r="9" spans="2:15" ht="15" thickBot="1" x14ac:dyDescent="0.4">
      <c r="B9" s="132" t="s">
        <v>26</v>
      </c>
      <c r="C9" s="133"/>
      <c r="D9" s="134"/>
      <c r="E9" s="25" t="s">
        <v>19</v>
      </c>
      <c r="G9" s="9" t="s">
        <v>78</v>
      </c>
      <c r="H9" s="34">
        <f>ROUNDUP(H7*H8,0)</f>
        <v>4</v>
      </c>
      <c r="I9" s="32" t="s">
        <v>22</v>
      </c>
      <c r="J9" s="30" t="s">
        <v>108</v>
      </c>
      <c r="L9" s="3"/>
      <c r="M9" s="74">
        <f>$H$30</f>
        <v>4833116.732040965</v>
      </c>
      <c r="N9" s="35" t="s">
        <v>15</v>
      </c>
      <c r="O9" s="30" t="s">
        <v>123</v>
      </c>
    </row>
    <row r="10" spans="2:15" ht="15" thickBot="1" x14ac:dyDescent="0.4">
      <c r="B10" s="5"/>
      <c r="C10" s="98"/>
      <c r="D10" s="82"/>
      <c r="E10" s="87"/>
      <c r="G10" s="54"/>
      <c r="H10" s="16"/>
      <c r="I10" s="16"/>
      <c r="J10" s="30"/>
      <c r="L10" s="3"/>
      <c r="M10" s="41">
        <f>'City Assumptions'!$C$10</f>
        <v>0.85</v>
      </c>
      <c r="N10" s="16" t="s">
        <v>28</v>
      </c>
      <c r="O10" s="30" t="s">
        <v>124</v>
      </c>
    </row>
    <row r="11" spans="2:15" ht="15" thickBot="1" x14ac:dyDescent="0.4">
      <c r="B11" s="5" t="s">
        <v>39</v>
      </c>
      <c r="C11" s="88">
        <f>'Instructions and Results'!$C$16</f>
        <v>522000</v>
      </c>
      <c r="D11" s="83" t="s">
        <v>20</v>
      </c>
      <c r="E11" s="87" t="s">
        <v>89</v>
      </c>
      <c r="G11" s="9" t="s">
        <v>81</v>
      </c>
      <c r="H11" s="105">
        <f>'City Assumptions'!$C$4/'Density Tool'!$C$38</f>
        <v>0.12799055848021793</v>
      </c>
      <c r="I11" s="32" t="s">
        <v>22</v>
      </c>
      <c r="J11" s="87" t="str">
        <f>"dd = "&amp;TEXT('City Assumptions'!C4,"##")&amp;" / x"</f>
        <v>dd = 3 / x</v>
      </c>
      <c r="L11" s="3"/>
      <c r="M11" s="74">
        <f>$M$9*$M$10</f>
        <v>4108149.22223482</v>
      </c>
      <c r="N11" s="35" t="s">
        <v>16</v>
      </c>
      <c r="O11" s="30" t="s">
        <v>125</v>
      </c>
    </row>
    <row r="12" spans="2:15" ht="15" thickBot="1" x14ac:dyDescent="0.4">
      <c r="B12" s="5" t="s">
        <v>40</v>
      </c>
      <c r="C12" s="88">
        <f>'Instructions and Results'!C17</f>
        <v>344431.36363636365</v>
      </c>
      <c r="D12" s="83" t="s">
        <v>20</v>
      </c>
      <c r="E12" s="87" t="s">
        <v>90</v>
      </c>
      <c r="G12" s="9" t="s">
        <v>79</v>
      </c>
      <c r="H12" s="33">
        <f>C37*H11</f>
        <v>44334.579137094312</v>
      </c>
      <c r="I12" s="32" t="s">
        <v>22</v>
      </c>
      <c r="J12" s="30" t="s">
        <v>109</v>
      </c>
      <c r="L12" s="3"/>
      <c r="M12" s="41">
        <f>1-$M$10</f>
        <v>0.15000000000000002</v>
      </c>
      <c r="N12" s="16" t="s">
        <v>29</v>
      </c>
      <c r="O12" s="30" t="s">
        <v>126</v>
      </c>
    </row>
    <row r="13" spans="2:15" ht="15" thickBot="1" x14ac:dyDescent="0.4">
      <c r="B13" s="9" t="s">
        <v>71</v>
      </c>
      <c r="C13" s="89">
        <f>SUM(C11:C12)</f>
        <v>866431.36363636365</v>
      </c>
      <c r="D13" s="32" t="s">
        <v>22</v>
      </c>
      <c r="E13" s="87" t="s">
        <v>91</v>
      </c>
      <c r="G13" s="9" t="s">
        <v>27</v>
      </c>
      <c r="H13" s="40">
        <f>'City Assumptions'!C6</f>
        <v>9</v>
      </c>
      <c r="I13" s="42" t="s">
        <v>23</v>
      </c>
      <c r="J13" s="30" t="s">
        <v>110</v>
      </c>
      <c r="L13" s="3"/>
      <c r="M13" s="36">
        <f>$M$9-$M$11</f>
        <v>724967.50980614498</v>
      </c>
      <c r="N13" s="35" t="s">
        <v>17</v>
      </c>
      <c r="O13" s="30" t="s">
        <v>127</v>
      </c>
    </row>
    <row r="14" spans="2:15" ht="15" thickBot="1" x14ac:dyDescent="0.4">
      <c r="B14" s="9" t="s">
        <v>80</v>
      </c>
      <c r="C14" s="106">
        <f>C13/C5</f>
        <v>24.42715995591665</v>
      </c>
      <c r="D14" s="32" t="s">
        <v>22</v>
      </c>
      <c r="E14" s="87" t="s">
        <v>92</v>
      </c>
      <c r="G14" s="5" t="str">
        <f>"Level 1 Required Bonus Fee to achieve "&amp;TEXT('City Assumptions'!$C$4,"##")&amp;":1 FAR"</f>
        <v>Level 1 Required Bonus Fee to achieve 3:1 FAR</v>
      </c>
      <c r="H14" s="36">
        <f>$H$13*H12</f>
        <v>399011.21223384881</v>
      </c>
      <c r="I14" s="32" t="s">
        <v>22</v>
      </c>
      <c r="J14" s="30" t="s">
        <v>111</v>
      </c>
      <c r="L14" s="3"/>
      <c r="M14" s="38"/>
      <c r="N14" s="16"/>
      <c r="O14" s="30"/>
    </row>
    <row r="15" spans="2:15" ht="15.75" customHeight="1" thickBot="1" x14ac:dyDescent="0.4">
      <c r="B15" s="5"/>
      <c r="C15" s="90"/>
      <c r="D15" s="83"/>
      <c r="E15" s="87"/>
      <c r="G15" s="43"/>
      <c r="H15" s="7"/>
      <c r="I15" s="7"/>
      <c r="J15" s="28"/>
      <c r="L15" s="3"/>
      <c r="M15" s="36">
        <f>M7+M11</f>
        <v>4507160.4344686689</v>
      </c>
      <c r="N15" s="35" t="s">
        <v>62</v>
      </c>
      <c r="O15" s="30" t="s">
        <v>128</v>
      </c>
    </row>
    <row r="16" spans="2:15" s="57" customFormat="1" ht="19" thickBot="1" x14ac:dyDescent="0.5">
      <c r="B16" s="5" t="s">
        <v>57</v>
      </c>
      <c r="C16" s="91">
        <f>'Instructions and Results'!C19</f>
        <v>0.92911877394636011</v>
      </c>
      <c r="D16" s="83" t="s">
        <v>20</v>
      </c>
      <c r="E16" s="87" t="s">
        <v>93</v>
      </c>
      <c r="G16" s="44"/>
      <c r="H16" s="44"/>
      <c r="I16" s="44"/>
      <c r="J16" s="44"/>
      <c r="L16" s="6"/>
      <c r="M16" s="7"/>
      <c r="N16" s="7"/>
      <c r="O16" s="28"/>
    </row>
    <row r="17" spans="2:14" ht="15.75" customHeight="1" thickBot="1" x14ac:dyDescent="0.4">
      <c r="B17" s="77" t="s">
        <v>58</v>
      </c>
      <c r="C17" s="92">
        <f>'Instructions and Results'!C20</f>
        <v>0</v>
      </c>
      <c r="D17" s="84" t="s">
        <v>20</v>
      </c>
      <c r="E17" s="87" t="s">
        <v>94</v>
      </c>
      <c r="G17" s="135" t="str">
        <f>"Level 2 Density Bonus Community Benefits: from "&amp;TEXT('City Assumptions'!$C$4,"##")&amp;":1 FAR to Desired "&amp;TEXT($C$38,"##")&amp;":1 FAR"</f>
        <v>Level 2 Density Bonus Community Benefits: from 3:1 FAR to Desired 23:1 FAR</v>
      </c>
      <c r="H17" s="136"/>
      <c r="I17" s="136"/>
      <c r="J17" s="137"/>
    </row>
    <row r="18" spans="2:14" ht="15.75" customHeight="1" thickBot="1" x14ac:dyDescent="0.4">
      <c r="B18" s="5" t="s">
        <v>59</v>
      </c>
      <c r="C18" s="93">
        <f>'Instructions and Results'!C21</f>
        <v>5.7471264367816091E-2</v>
      </c>
      <c r="D18" s="83" t="s">
        <v>20</v>
      </c>
      <c r="E18" s="87" t="s">
        <v>95</v>
      </c>
      <c r="G18" s="26"/>
      <c r="H18" s="27"/>
      <c r="I18" s="45"/>
      <c r="J18" s="25" t="s">
        <v>19</v>
      </c>
    </row>
    <row r="19" spans="2:14" ht="15" thickBot="1" x14ac:dyDescent="0.4">
      <c r="B19" s="5" t="s">
        <v>60</v>
      </c>
      <c r="C19" s="91">
        <f>'Instructions and Results'!C22</f>
        <v>1.3409961685823755E-2</v>
      </c>
      <c r="D19" s="83" t="s">
        <v>20</v>
      </c>
      <c r="E19" s="87" t="s">
        <v>96</v>
      </c>
      <c r="G19" s="9"/>
      <c r="H19" s="16"/>
      <c r="I19" s="4"/>
      <c r="J19" s="86"/>
    </row>
    <row r="20" spans="2:14" x14ac:dyDescent="0.35">
      <c r="B20" s="9"/>
      <c r="C20" s="95"/>
      <c r="D20" s="81"/>
      <c r="E20" s="87"/>
      <c r="G20" s="9" t="s">
        <v>82</v>
      </c>
      <c r="H20" s="33">
        <f>C37-H12</f>
        <v>302054.87070616591</v>
      </c>
      <c r="I20" s="11" t="s">
        <v>22</v>
      </c>
      <c r="J20" s="30" t="s">
        <v>112</v>
      </c>
    </row>
    <row r="21" spans="2:14" x14ac:dyDescent="0.35">
      <c r="B21" s="9" t="s">
        <v>63</v>
      </c>
      <c r="C21" s="95">
        <f>$C$11*C17</f>
        <v>0</v>
      </c>
      <c r="D21" s="81" t="s">
        <v>22</v>
      </c>
      <c r="E21" s="87" t="s">
        <v>97</v>
      </c>
      <c r="G21" s="9" t="s">
        <v>32</v>
      </c>
      <c r="H21" s="40">
        <f>'City Assumptions'!C7</f>
        <v>9</v>
      </c>
      <c r="I21" s="37" t="s">
        <v>23</v>
      </c>
      <c r="J21" s="30" t="s">
        <v>113</v>
      </c>
      <c r="N21" s="56"/>
    </row>
    <row r="22" spans="2:14" x14ac:dyDescent="0.35">
      <c r="B22" s="9" t="s">
        <v>64</v>
      </c>
      <c r="C22" s="95">
        <f>$C$11*C18</f>
        <v>30000</v>
      </c>
      <c r="D22" s="81" t="s">
        <v>22</v>
      </c>
      <c r="E22" s="87" t="s">
        <v>98</v>
      </c>
      <c r="G22" s="9" t="str">
        <f>"Level 2 Required Non-Res Community Benefit Value to Achieve "&amp;TEXT($C$38,"##")&amp;":1 FAR"</f>
        <v>Level 2 Required Non-Res Community Benefit Value to Achieve 23:1 FAR</v>
      </c>
      <c r="H22" s="107">
        <f>$H$21*H20</f>
        <v>2718493.8363554934</v>
      </c>
      <c r="I22" s="11" t="s">
        <v>22</v>
      </c>
      <c r="J22" s="30" t="s">
        <v>114</v>
      </c>
      <c r="N22" s="56"/>
    </row>
    <row r="23" spans="2:14" x14ac:dyDescent="0.35">
      <c r="B23" s="12" t="s">
        <v>65</v>
      </c>
      <c r="C23" s="96">
        <f>$C$11*C19</f>
        <v>7000</v>
      </c>
      <c r="D23" s="85" t="s">
        <v>22</v>
      </c>
      <c r="E23" s="87" t="s">
        <v>99</v>
      </c>
      <c r="G23" s="9"/>
      <c r="H23" s="38"/>
      <c r="I23" s="11"/>
      <c r="J23" s="30"/>
      <c r="N23" s="56"/>
    </row>
    <row r="24" spans="2:14" x14ac:dyDescent="0.35">
      <c r="B24" s="9" t="s">
        <v>30</v>
      </c>
      <c r="C24" s="95">
        <f>SUM(C21:C23)</f>
        <v>37000</v>
      </c>
      <c r="D24" s="81" t="s">
        <v>22</v>
      </c>
      <c r="E24" s="87" t="s">
        <v>129</v>
      </c>
      <c r="G24" s="9" t="s">
        <v>83</v>
      </c>
      <c r="H24" s="105">
        <f>IFERROR(H7/H5,0)</f>
        <v>0.12799055848021793</v>
      </c>
      <c r="I24" s="11" t="s">
        <v>22</v>
      </c>
      <c r="J24" s="30" t="s">
        <v>115</v>
      </c>
    </row>
    <row r="25" spans="2:14" x14ac:dyDescent="0.35">
      <c r="B25" s="5"/>
      <c r="C25" s="94"/>
      <c r="D25" s="83"/>
      <c r="E25" s="87"/>
      <c r="G25" s="9" t="s">
        <v>84</v>
      </c>
      <c r="H25" s="105">
        <f>1-H24</f>
        <v>0.8720094415197821</v>
      </c>
      <c r="I25" s="11" t="s">
        <v>22</v>
      </c>
      <c r="J25" s="30" t="s">
        <v>116</v>
      </c>
    </row>
    <row r="26" spans="2:14" x14ac:dyDescent="0.35">
      <c r="B26" s="12" t="s">
        <v>67</v>
      </c>
      <c r="C26" s="95"/>
      <c r="D26" s="81"/>
      <c r="E26" s="87"/>
      <c r="G26" s="9" t="s">
        <v>85</v>
      </c>
      <c r="H26" s="33">
        <f>H25*C36</f>
        <v>422924.57913709432</v>
      </c>
      <c r="I26" s="11" t="s">
        <v>22</v>
      </c>
      <c r="J26" s="30" t="s">
        <v>117</v>
      </c>
    </row>
    <row r="27" spans="2:14" x14ac:dyDescent="0.35">
      <c r="B27" s="9" t="s">
        <v>38</v>
      </c>
      <c r="C27" s="79">
        <f>'City Assumptions'!C16*'Density Tool'!C16</f>
        <v>0.83620689655172409</v>
      </c>
      <c r="D27" s="42" t="s">
        <v>23</v>
      </c>
      <c r="E27" s="87" t="str">
        <f>"n = f * "&amp;TEXT('City Assumptions'!C16,"##.###")</f>
        <v>n = f * .9</v>
      </c>
      <c r="G27" s="9" t="s">
        <v>31</v>
      </c>
      <c r="H27" s="40">
        <f>'City Assumptions'!C8</f>
        <v>5</v>
      </c>
      <c r="I27" s="37" t="s">
        <v>23</v>
      </c>
      <c r="J27" s="30" t="s">
        <v>118</v>
      </c>
    </row>
    <row r="28" spans="2:14" x14ac:dyDescent="0.35">
      <c r="B28" s="9" t="s">
        <v>68</v>
      </c>
      <c r="C28" s="79">
        <f>'City Assumptions'!C17*'Density Tool'!C17</f>
        <v>0</v>
      </c>
      <c r="D28" s="42" t="s">
        <v>23</v>
      </c>
      <c r="E28" s="87" t="str">
        <f>"o = g * "&amp;TEXT('City Assumptions'!C17,"##.###")</f>
        <v>o = g * .45</v>
      </c>
      <c r="G28" s="9" t="str">
        <f>"Level 2 Required Residential Community Benefit Value to Achieve "&amp;TEXT($C$38,"##")&amp;":1 FAR"</f>
        <v>Level 2 Required Residential Community Benefit Value to Achieve 23:1 FAR</v>
      </c>
      <c r="H28" s="107">
        <f>H26*H27</f>
        <v>2114622.8956854716</v>
      </c>
      <c r="I28" s="11" t="s">
        <v>22</v>
      </c>
      <c r="J28" s="30" t="s">
        <v>119</v>
      </c>
    </row>
    <row r="29" spans="2:14" ht="15" thickBot="1" x14ac:dyDescent="0.4">
      <c r="B29" s="9" t="s">
        <v>69</v>
      </c>
      <c r="C29" s="79">
        <f>'City Assumptions'!C18*'Density Tool'!C18</f>
        <v>0.10344827586206896</v>
      </c>
      <c r="D29" s="42" t="s">
        <v>23</v>
      </c>
      <c r="E29" s="87" t="str">
        <f>"p = h * "&amp;TEXT('City Assumptions'!C18,"##.###")</f>
        <v>p = h * 1.8</v>
      </c>
      <c r="G29" s="9"/>
      <c r="H29" s="38"/>
      <c r="I29" s="11"/>
      <c r="J29" s="30"/>
    </row>
    <row r="30" spans="2:14" ht="15" thickBot="1" x14ac:dyDescent="0.4">
      <c r="B30" s="9" t="s">
        <v>70</v>
      </c>
      <c r="C30" s="80">
        <f>'City Assumptions'!C19*'Density Tool'!C19</f>
        <v>4.8275862068965517E-2</v>
      </c>
      <c r="D30" s="42" t="s">
        <v>23</v>
      </c>
      <c r="E30" s="87" t="str">
        <f>"q = i * "&amp;TEXT('City Assumptions'!C19,"##.###")</f>
        <v>q = i * 3.6</v>
      </c>
      <c r="G30" s="5" t="s">
        <v>140</v>
      </c>
      <c r="H30" s="36">
        <f>H28+H22</f>
        <v>4833116.732040965</v>
      </c>
      <c r="I30" s="11" t="s">
        <v>22</v>
      </c>
      <c r="J30" s="30" t="s">
        <v>120</v>
      </c>
    </row>
    <row r="31" spans="2:14" x14ac:dyDescent="0.35">
      <c r="B31" s="9" t="s">
        <v>42</v>
      </c>
      <c r="C31" s="97">
        <f>SUM(C27:C30)</f>
        <v>0.98793103448275854</v>
      </c>
      <c r="D31" s="81" t="s">
        <v>22</v>
      </c>
      <c r="E31" s="87" t="s">
        <v>100</v>
      </c>
      <c r="G31" s="43"/>
      <c r="H31" s="7"/>
      <c r="I31" s="8"/>
      <c r="J31" s="28"/>
    </row>
    <row r="32" spans="2:14" x14ac:dyDescent="0.35">
      <c r="B32" s="9" t="s">
        <v>72</v>
      </c>
      <c r="C32" s="95">
        <f>IF(C31*C5&gt;C12,C12,C31*C5)</f>
        <v>35041.913793103442</v>
      </c>
      <c r="D32" s="81" t="s">
        <v>22</v>
      </c>
      <c r="E32" s="87" t="s">
        <v>101</v>
      </c>
    </row>
    <row r="33" spans="2:8" x14ac:dyDescent="0.35">
      <c r="B33" s="9" t="s">
        <v>138</v>
      </c>
      <c r="C33" s="95">
        <f>C12-C32</f>
        <v>309389.44984326023</v>
      </c>
      <c r="D33" s="81" t="s">
        <v>22</v>
      </c>
      <c r="E33" s="101" t="s">
        <v>102</v>
      </c>
      <c r="H33" s="56"/>
    </row>
    <row r="34" spans="2:8" x14ac:dyDescent="0.35">
      <c r="B34" s="5"/>
      <c r="C34" s="99"/>
      <c r="D34" s="81"/>
      <c r="E34" s="101"/>
    </row>
    <row r="35" spans="2:8" x14ac:dyDescent="0.35">
      <c r="B35" s="5" t="s">
        <v>73</v>
      </c>
      <c r="C35" s="100">
        <f>C13-C32</f>
        <v>831389.44984326023</v>
      </c>
      <c r="D35" s="81" t="s">
        <v>22</v>
      </c>
      <c r="E35" s="101" t="s">
        <v>103</v>
      </c>
    </row>
    <row r="36" spans="2:8" x14ac:dyDescent="0.35">
      <c r="B36" s="9" t="s">
        <v>76</v>
      </c>
      <c r="C36" s="95">
        <f>C11*C16</f>
        <v>485000</v>
      </c>
      <c r="D36" s="81" t="s">
        <v>22</v>
      </c>
      <c r="E36" s="101" t="s">
        <v>104</v>
      </c>
    </row>
    <row r="37" spans="2:8" x14ac:dyDescent="0.35">
      <c r="B37" s="9" t="s">
        <v>75</v>
      </c>
      <c r="C37" s="95">
        <f>C24+C33</f>
        <v>346389.44984326023</v>
      </c>
      <c r="D37" s="81" t="s">
        <v>22</v>
      </c>
      <c r="E37" s="101" t="s">
        <v>105</v>
      </c>
    </row>
    <row r="38" spans="2:8" x14ac:dyDescent="0.35">
      <c r="B38" s="9" t="s">
        <v>74</v>
      </c>
      <c r="C38" s="102">
        <f>C35/C5</f>
        <v>23.439228921433894</v>
      </c>
      <c r="D38" s="81" t="s">
        <v>22</v>
      </c>
      <c r="E38" s="101" t="s">
        <v>106</v>
      </c>
    </row>
    <row r="39" spans="2:8" x14ac:dyDescent="0.35">
      <c r="B39" s="6"/>
      <c r="C39" s="7"/>
      <c r="D39" s="7"/>
      <c r="E39" s="28"/>
    </row>
    <row r="40" spans="2:8" x14ac:dyDescent="0.35">
      <c r="G40" s="76"/>
    </row>
    <row r="42" spans="2:8" x14ac:dyDescent="0.35">
      <c r="G42" s="76"/>
    </row>
    <row r="45" spans="2:8" x14ac:dyDescent="0.35">
      <c r="G45" s="76"/>
    </row>
  </sheetData>
  <mergeCells count="7">
    <mergeCell ref="B9:D9"/>
    <mergeCell ref="G17:J17"/>
    <mergeCell ref="B3:D3"/>
    <mergeCell ref="L2:O2"/>
    <mergeCell ref="G2:J2"/>
    <mergeCell ref="B2:E2"/>
    <mergeCell ref="B8:E8"/>
  </mergeCells>
  <dataValidations disablePrompts="1" count="1">
    <dataValidation type="decimal" allowBlank="1" showInputMessage="1" showErrorMessage="1" sqref="C16:C25" xr:uid="{583E157A-4730-4EF6-A3CE-5B3A69FA8F3F}">
      <formula1>0.05</formula1>
      <formula2>1</formula2>
    </dataValidation>
  </dataValidation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5C419E-54E3-480C-87DD-42B713546A86}">
  <dimension ref="B2:D23"/>
  <sheetViews>
    <sheetView workbookViewId="0">
      <selection activeCell="C11" sqref="C11"/>
    </sheetView>
  </sheetViews>
  <sheetFormatPr defaultRowHeight="14.5" x14ac:dyDescent="0.35"/>
  <cols>
    <col min="2" max="2" width="60.81640625" bestFit="1" customWidth="1"/>
    <col min="3" max="3" width="6.54296875" bestFit="1" customWidth="1"/>
    <col min="4" max="4" width="31.1796875" bestFit="1" customWidth="1"/>
  </cols>
  <sheetData>
    <row r="2" spans="2:4" ht="18.5" x14ac:dyDescent="0.45">
      <c r="B2" s="126" t="s">
        <v>34</v>
      </c>
      <c r="C2" s="127"/>
      <c r="D2" s="128"/>
    </row>
    <row r="3" spans="2:4" ht="15" thickBot="1" x14ac:dyDescent="0.4">
      <c r="B3" s="1"/>
      <c r="C3" s="15"/>
      <c r="D3" s="2"/>
    </row>
    <row r="4" spans="2:4" ht="15" thickBot="1" x14ac:dyDescent="0.4">
      <c r="B4" s="9" t="s">
        <v>45</v>
      </c>
      <c r="C4" s="19">
        <v>3</v>
      </c>
      <c r="D4" s="17" t="s">
        <v>35</v>
      </c>
    </row>
    <row r="5" spans="2:4" ht="15" thickBot="1" x14ac:dyDescent="0.4">
      <c r="B5" s="1"/>
      <c r="C5" s="20"/>
      <c r="D5" s="18"/>
    </row>
    <row r="6" spans="2:4" ht="15" thickBot="1" x14ac:dyDescent="0.4">
      <c r="B6" s="9" t="s">
        <v>46</v>
      </c>
      <c r="C6" s="22">
        <v>9</v>
      </c>
      <c r="D6" s="18"/>
    </row>
    <row r="7" spans="2:4" ht="15" thickBot="1" x14ac:dyDescent="0.4">
      <c r="B7" s="9" t="s">
        <v>47</v>
      </c>
      <c r="C7" s="22">
        <v>9</v>
      </c>
      <c r="D7" s="18"/>
    </row>
    <row r="8" spans="2:4" ht="15" thickBot="1" x14ac:dyDescent="0.4">
      <c r="B8" s="9" t="s">
        <v>48</v>
      </c>
      <c r="C8" s="22">
        <v>5</v>
      </c>
      <c r="D8" s="18"/>
    </row>
    <row r="9" spans="2:4" ht="15" thickBot="1" x14ac:dyDescent="0.4">
      <c r="B9" s="9"/>
      <c r="C9" s="16"/>
      <c r="D9" s="17"/>
    </row>
    <row r="10" spans="2:4" ht="15" thickBot="1" x14ac:dyDescent="0.4">
      <c r="B10" s="9" t="s">
        <v>49</v>
      </c>
      <c r="C10" s="21">
        <v>0.85</v>
      </c>
      <c r="D10" s="17"/>
    </row>
    <row r="11" spans="2:4" ht="15" thickBot="1" x14ac:dyDescent="0.4">
      <c r="B11" s="9"/>
      <c r="C11" s="16"/>
      <c r="D11" s="17"/>
    </row>
    <row r="12" spans="2:4" ht="15" thickBot="1" x14ac:dyDescent="0.4">
      <c r="B12" s="9" t="s">
        <v>50</v>
      </c>
      <c r="C12" s="21">
        <f>1/3</f>
        <v>0.33333333333333331</v>
      </c>
      <c r="D12" s="17"/>
    </row>
    <row r="13" spans="2:4" ht="15" thickBot="1" x14ac:dyDescent="0.4">
      <c r="B13" s="9" t="s">
        <v>51</v>
      </c>
      <c r="C13" s="21">
        <f>1/3</f>
        <v>0.33333333333333331</v>
      </c>
      <c r="D13" s="17"/>
    </row>
    <row r="14" spans="2:4" ht="15" thickBot="1" x14ac:dyDescent="0.4">
      <c r="B14" s="9" t="s">
        <v>52</v>
      </c>
      <c r="C14" s="21">
        <f>1/3</f>
        <v>0.33333333333333331</v>
      </c>
      <c r="D14" s="17"/>
    </row>
    <row r="15" spans="2:4" ht="15" thickBot="1" x14ac:dyDescent="0.4">
      <c r="B15" s="9"/>
      <c r="D15" s="17"/>
    </row>
    <row r="16" spans="2:4" ht="15" thickBot="1" x14ac:dyDescent="0.4">
      <c r="B16" s="9" t="s">
        <v>53</v>
      </c>
      <c r="C16" s="58">
        <v>0.9</v>
      </c>
      <c r="D16" s="17"/>
    </row>
    <row r="17" spans="2:4" ht="15" thickBot="1" x14ac:dyDescent="0.4">
      <c r="B17" s="9" t="s">
        <v>54</v>
      </c>
      <c r="C17" s="58">
        <v>0.45</v>
      </c>
      <c r="D17" s="17"/>
    </row>
    <row r="18" spans="2:4" ht="15" thickBot="1" x14ac:dyDescent="0.4">
      <c r="B18" s="9" t="s">
        <v>55</v>
      </c>
      <c r="C18" s="58">
        <v>1.8</v>
      </c>
      <c r="D18" s="17"/>
    </row>
    <row r="19" spans="2:4" ht="15" thickBot="1" x14ac:dyDescent="0.4">
      <c r="B19" s="9" t="s">
        <v>56</v>
      </c>
      <c r="C19" s="58">
        <v>3.6</v>
      </c>
      <c r="D19" s="17"/>
    </row>
    <row r="20" spans="2:4" ht="15" thickBot="1" x14ac:dyDescent="0.4">
      <c r="B20" s="9"/>
      <c r="C20" s="75"/>
      <c r="D20" s="17"/>
    </row>
    <row r="21" spans="2:4" ht="15" thickBot="1" x14ac:dyDescent="0.4">
      <c r="B21" s="9" t="s">
        <v>24</v>
      </c>
      <c r="C21" s="21">
        <v>0.05</v>
      </c>
      <c r="D21" s="17"/>
    </row>
    <row r="22" spans="2:4" x14ac:dyDescent="0.35">
      <c r="B22" s="43"/>
      <c r="C22" s="59"/>
      <c r="D22" s="60"/>
    </row>
    <row r="23" spans="2:4" x14ac:dyDescent="0.35">
      <c r="B23" s="46"/>
      <c r="C23" s="61"/>
      <c r="D23" s="62"/>
    </row>
  </sheetData>
  <mergeCells count="1">
    <mergeCell ref="B2:D2"/>
  </mergeCells>
  <dataValidations count="1">
    <dataValidation type="whole" operator="greaterThan" allowBlank="1" showInputMessage="1" showErrorMessage="1" sqref="C4" xr:uid="{C144DDD0-C281-45F4-93FB-2B70EB1F9F79}">
      <formula1>0</formula1>
    </dataValidation>
  </dataValidations>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F02BB102D62E24D955BBF73A1189164" ma:contentTypeVersion="14" ma:contentTypeDescription="Create a new document." ma:contentTypeScope="" ma:versionID="6dac3ba5db1cc7b81e1f1680756f1a67">
  <xsd:schema xmlns:xsd="http://www.w3.org/2001/XMLSchema" xmlns:xs="http://www.w3.org/2001/XMLSchema" xmlns:p="http://schemas.microsoft.com/office/2006/metadata/properties" xmlns:ns2="ca961b73-f253-465a-94dd-fb05184f8a44" xmlns:ns3="e4c5abd7-094e-4ea6-b279-1c997dddd182" targetNamespace="http://schemas.microsoft.com/office/2006/metadata/properties" ma:root="true" ma:fieldsID="8800ad8f48b29c6d0260a0d6c841159d" ns2:_="" ns3:_="">
    <xsd:import namespace="ca961b73-f253-465a-94dd-fb05184f8a44"/>
    <xsd:import namespace="e4c5abd7-094e-4ea6-b279-1c997dddd18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a961b73-f253-465a-94dd-fb05184f8a4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70fecf25-3a11-4003-9cca-0804a470c7c8"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4c5abd7-094e-4ea6-b279-1c997dddd18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03642b58-c94f-4fec-84de-528dd58f8489}" ma:internalName="TaxCatchAll" ma:showField="CatchAllData" ma:web="e4c5abd7-094e-4ea6-b279-1c997dddd18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e4c5abd7-094e-4ea6-b279-1c997dddd182" xsi:nil="true"/>
    <lcf76f155ced4ddcb4097134ff3c332f xmlns="ca961b73-f253-465a-94dd-fb05184f8a4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799EA10-463A-409D-AD3E-CDE3D6012F2B}">
  <ds:schemaRefs>
    <ds:schemaRef ds:uri="http://schemas.microsoft.com/sharepoint/v3/contenttype/forms"/>
  </ds:schemaRefs>
</ds:datastoreItem>
</file>

<file path=customXml/itemProps2.xml><?xml version="1.0" encoding="utf-8"?>
<ds:datastoreItem xmlns:ds="http://schemas.openxmlformats.org/officeDocument/2006/customXml" ds:itemID="{33B17D87-7432-42C1-8F76-46B989C8AF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a961b73-f253-465a-94dd-fb05184f8a44"/>
    <ds:schemaRef ds:uri="e4c5abd7-094e-4ea6-b279-1c997dddd18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715A204-2C3F-4CAE-B1AD-DB237EF4C9F7}">
  <ds:schemaRefs>
    <ds:schemaRef ds:uri="http://www.w3.org/XML/1998/namespace"/>
    <ds:schemaRef ds:uri="ca961b73-f253-465a-94dd-fb05184f8a44"/>
    <ds:schemaRef ds:uri="http://schemas.microsoft.com/office/2006/documentManagement/types"/>
    <ds:schemaRef ds:uri="e4c5abd7-094e-4ea6-b279-1c997dddd182"/>
    <ds:schemaRef ds:uri="http://purl.org/dc/terms/"/>
    <ds:schemaRef ds:uri="http://purl.org/dc/dcmitype/"/>
    <ds:schemaRef ds:uri="http://purl.org/dc/elements/1.1/"/>
    <ds:schemaRef ds:uri="http://schemas.openxmlformats.org/package/2006/metadata/core-properties"/>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Tool Overview </vt:lpstr>
      <vt:lpstr>Instructions and Results</vt:lpstr>
      <vt:lpstr>Density Tool</vt:lpstr>
      <vt:lpstr>City Assumptions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Luke Foelsch</dc:creator>
  <cp:keywords/>
  <dc:description/>
  <cp:lastModifiedBy>Geruso, April</cp:lastModifiedBy>
  <cp:revision/>
  <dcterms:created xsi:type="dcterms:W3CDTF">2015-06-05T18:17:20Z</dcterms:created>
  <dcterms:modified xsi:type="dcterms:W3CDTF">2024-08-29T13:37:34Z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0x0101004F02BB102D62E24D955BBF73A1189164</vt:lpwstr>
  </property>
  <property fmtid="{D5CDD505-2E9C-101B-9397-08002B2CF9AE}" pid="3" name="MediaServiceImageTags">
    <vt:lpwstr/>
  </property>
</Properties>
</file>